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 activeTab="3"/>
  </bookViews>
  <sheets>
    <sheet name="Прил 1" sheetId="10" r:id="rId1"/>
    <sheet name="Прил 2" sheetId="2" r:id="rId2"/>
    <sheet name="Прил 3 " sheetId="11" r:id="rId3"/>
    <sheet name="Прил 4" sheetId="4" r:id="rId4"/>
    <sheet name="Прил 5" sheetId="5" r:id="rId5"/>
    <sheet name="Прил 6" sheetId="6" r:id="rId6"/>
  </sheets>
  <definedNames>
    <definedName name="_xlnm.Print_Titles" localSheetId="0">'Прил 1'!$4:$4</definedName>
    <definedName name="_xlnm.Print_Titles" localSheetId="2">'Прил 3 '!$5:$5</definedName>
    <definedName name="_xlnm.Print_Titles" localSheetId="4">'Прил 5'!$6:$6</definedName>
    <definedName name="_xlnm.Print_Titles" localSheetId="5">'Прил 6'!$6:$6</definedName>
    <definedName name="_xlnm.Print_Area" localSheetId="0">'Прил 1'!$A$1:$F$2540</definedName>
    <definedName name="_xlnm.Print_Area" localSheetId="2">'Прил 3 '!$A$1:$F$190</definedName>
    <definedName name="_xlnm.Print_Area" localSheetId="5">'Прил 6'!$A$1:$IIV$297</definedName>
  </definedNames>
  <calcPr calcId="124519"/>
</workbook>
</file>

<file path=xl/calcChain.xml><?xml version="1.0" encoding="utf-8"?>
<calcChain xmlns="http://schemas.openxmlformats.org/spreadsheetml/2006/main">
  <c r="A231" i="5"/>
  <c r="D283" i="6" l="1"/>
  <c r="C187" i="11" l="1"/>
  <c r="C188" s="1"/>
  <c r="C164"/>
  <c r="C173" s="1"/>
  <c r="C127"/>
  <c r="C118"/>
  <c r="C114"/>
  <c r="C134" s="1"/>
  <c r="C105"/>
  <c r="C102"/>
  <c r="C98"/>
  <c r="C94"/>
  <c r="C90"/>
  <c r="C106" s="1"/>
  <c r="C79"/>
  <c r="C84" s="1"/>
  <c r="C67"/>
  <c r="C49"/>
  <c r="C190" s="1"/>
  <c r="C2512" i="10" l="1"/>
  <c r="C2506"/>
  <c r="C2497"/>
  <c r="C2490"/>
  <c r="C2513" s="1"/>
  <c r="C2473"/>
  <c r="C2463"/>
  <c r="C2401"/>
  <c r="C2410" s="1"/>
  <c r="C2389"/>
  <c r="C2378"/>
  <c r="C2370"/>
  <c r="C2357"/>
  <c r="C2343"/>
  <c r="C2329"/>
  <c r="C2320"/>
  <c r="C2341" s="1"/>
  <c r="C2315"/>
  <c r="C2312" s="1"/>
  <c r="C2308"/>
  <c r="C2303"/>
  <c r="C2300" s="1"/>
  <c r="C2291"/>
  <c r="C2290" s="1"/>
  <c r="C2285"/>
  <c r="C2276"/>
  <c r="C2271"/>
  <c r="C2270" s="1"/>
  <c r="C2264"/>
  <c r="C2263"/>
  <c r="C2256"/>
  <c r="C2250"/>
  <c r="C2239"/>
  <c r="C2232"/>
  <c r="C2231"/>
  <c r="C2230" s="1"/>
  <c r="C2222"/>
  <c r="C2217"/>
  <c r="C2216"/>
  <c r="C2214"/>
  <c r="C2211" s="1"/>
  <c r="C2213"/>
  <c r="C2212"/>
  <c r="C2210"/>
  <c r="C2209"/>
  <c r="C2208"/>
  <c r="C2206"/>
  <c r="C2205"/>
  <c r="C2202"/>
  <c r="C2200" s="1"/>
  <c r="C2201"/>
  <c r="C2199"/>
  <c r="C2198"/>
  <c r="C2197"/>
  <c r="C2194"/>
  <c r="C2193"/>
  <c r="C2192"/>
  <c r="C2191"/>
  <c r="C2190"/>
  <c r="C2188"/>
  <c r="C2187"/>
  <c r="C2186" s="1"/>
  <c r="C2185"/>
  <c r="C2184"/>
  <c r="C2183"/>
  <c r="C2174"/>
  <c r="C2169" s="1"/>
  <c r="C2170"/>
  <c r="C2165"/>
  <c r="C2152"/>
  <c r="C2136"/>
  <c r="C2127"/>
  <c r="C2120"/>
  <c r="C2115"/>
  <c r="C2106"/>
  <c r="C2102"/>
  <c r="C2095"/>
  <c r="C2090"/>
  <c r="C2084"/>
  <c r="C2079"/>
  <c r="C2078"/>
  <c r="C2077"/>
  <c r="C2072"/>
  <c r="C2071" s="1"/>
  <c r="C2070"/>
  <c r="C2068"/>
  <c r="C2067"/>
  <c r="C2065"/>
  <c r="C2064"/>
  <c r="C2063"/>
  <c r="C2062"/>
  <c r="C2058"/>
  <c r="C2057"/>
  <c r="C2056"/>
  <c r="C2053"/>
  <c r="C2051"/>
  <c r="C2050"/>
  <c r="C2049"/>
  <c r="C2048"/>
  <c r="C2047"/>
  <c r="C2045" s="1"/>
  <c r="C2046"/>
  <c r="C2043"/>
  <c r="C2041"/>
  <c r="C2040"/>
  <c r="C2038" s="1"/>
  <c r="C2035"/>
  <c r="C2033"/>
  <c r="C2032"/>
  <c r="C2030"/>
  <c r="C2029" s="1"/>
  <c r="C2027"/>
  <c r="C2025" s="1"/>
  <c r="C2021"/>
  <c r="C2017"/>
  <c r="C2015"/>
  <c r="C2013"/>
  <c r="C2012"/>
  <c r="C1998"/>
  <c r="C1995"/>
  <c r="C1986"/>
  <c r="C1980"/>
  <c r="C1963"/>
  <c r="C1962" s="1"/>
  <c r="C1954"/>
  <c r="C1948"/>
  <c r="C1934"/>
  <c r="C1933" s="1"/>
  <c r="C1975" s="1"/>
  <c r="C1906"/>
  <c r="C1887"/>
  <c r="C1864"/>
  <c r="C1859"/>
  <c r="C1843"/>
  <c r="C1836"/>
  <c r="C1820"/>
  <c r="C1812" s="1"/>
  <c r="C1798"/>
  <c r="C1789"/>
  <c r="C1788" s="1"/>
  <c r="C1781"/>
  <c r="C1778"/>
  <c r="C1776" s="1"/>
  <c r="C1772"/>
  <c r="C1771"/>
  <c r="C1762"/>
  <c r="C1761" s="1"/>
  <c r="C1751"/>
  <c r="C1744"/>
  <c r="C1730"/>
  <c r="C1726"/>
  <c r="C1722"/>
  <c r="C1711"/>
  <c r="C1703"/>
  <c r="C1702" s="1"/>
  <c r="C1700"/>
  <c r="C1696"/>
  <c r="C1694"/>
  <c r="C1687"/>
  <c r="C1681"/>
  <c r="C1679" s="1"/>
  <c r="C1668"/>
  <c r="C1658"/>
  <c r="C1654"/>
  <c r="C1653" s="1"/>
  <c r="C1643"/>
  <c r="C1630"/>
  <c r="C1615"/>
  <c r="C1614" s="1"/>
  <c r="C1606"/>
  <c r="C1599"/>
  <c r="C1598" s="1"/>
  <c r="C1612" s="1"/>
  <c r="C1590"/>
  <c r="C1576"/>
  <c r="C1575"/>
  <c r="C1566"/>
  <c r="C1565" s="1"/>
  <c r="C1558"/>
  <c r="C1557"/>
  <c r="C1549"/>
  <c r="C1539"/>
  <c r="C1522"/>
  <c r="C1521"/>
  <c r="C1508"/>
  <c r="C1502"/>
  <c r="C1495"/>
  <c r="C1488"/>
  <c r="C1481"/>
  <c r="C1475"/>
  <c r="C1464"/>
  <c r="C1457"/>
  <c r="C1456" s="1"/>
  <c r="C1444"/>
  <c r="C1435"/>
  <c r="C1427"/>
  <c r="C1426" s="1"/>
  <c r="C1412"/>
  <c r="C1411" s="1"/>
  <c r="C1402"/>
  <c r="C1391"/>
  <c r="C1379"/>
  <c r="C1372"/>
  <c r="C1359"/>
  <c r="C1352"/>
  <c r="C1338"/>
  <c r="C1332"/>
  <c r="C1326"/>
  <c r="C1325" s="1"/>
  <c r="C1318"/>
  <c r="C1311"/>
  <c r="C1303"/>
  <c r="C1293"/>
  <c r="C1283"/>
  <c r="C1276"/>
  <c r="C1268"/>
  <c r="C1257"/>
  <c r="C1256"/>
  <c r="C1250"/>
  <c r="C1233"/>
  <c r="C1220"/>
  <c r="C1208"/>
  <c r="C1203"/>
  <c r="C1191"/>
  <c r="C1179"/>
  <c r="C1178" s="1"/>
  <c r="C1170"/>
  <c r="C1165"/>
  <c r="C1159"/>
  <c r="C1150"/>
  <c r="C1149"/>
  <c r="C1131"/>
  <c r="C1126"/>
  <c r="C1117"/>
  <c r="C1116"/>
  <c r="C1105"/>
  <c r="C1104" s="1"/>
  <c r="C1094"/>
  <c r="C1082"/>
  <c r="C1081" s="1"/>
  <c r="C1073"/>
  <c r="C1062"/>
  <c r="C1061"/>
  <c r="C1045"/>
  <c r="C1019"/>
  <c r="C1016"/>
  <c r="C1007"/>
  <c r="C998"/>
  <c r="C994"/>
  <c r="C993" s="1"/>
  <c r="C984"/>
  <c r="C983"/>
  <c r="C979"/>
  <c r="C976"/>
  <c r="C971"/>
  <c r="C969"/>
  <c r="C960"/>
  <c r="C952"/>
  <c r="C950" s="1"/>
  <c r="C947"/>
  <c r="C946" s="1"/>
  <c r="C938"/>
  <c r="C930"/>
  <c r="C924"/>
  <c r="C922"/>
  <c r="C921"/>
  <c r="C920" s="1"/>
  <c r="C919" s="1"/>
  <c r="C911"/>
  <c r="C907"/>
  <c r="C903"/>
  <c r="C896"/>
  <c r="C894"/>
  <c r="C882"/>
  <c r="C877"/>
  <c r="C874"/>
  <c r="C870"/>
  <c r="C869"/>
  <c r="C865"/>
  <c r="C849"/>
  <c r="C841"/>
  <c r="C834"/>
  <c r="C822"/>
  <c r="C814"/>
  <c r="C809"/>
  <c r="C798"/>
  <c r="C788"/>
  <c r="C784"/>
  <c r="C772"/>
  <c r="C763"/>
  <c r="C755"/>
  <c r="C754" s="1"/>
  <c r="C746"/>
  <c r="C739"/>
  <c r="C731"/>
  <c r="C730" s="1"/>
  <c r="C721"/>
  <c r="C712"/>
  <c r="C704"/>
  <c r="C690"/>
  <c r="C686"/>
  <c r="C681"/>
  <c r="C673"/>
  <c r="C666"/>
  <c r="C659"/>
  <c r="C651"/>
  <c r="C650" s="1"/>
  <c r="C644"/>
  <c r="C636"/>
  <c r="C635" s="1"/>
  <c r="C632"/>
  <c r="C626"/>
  <c r="C620"/>
  <c r="C617" s="1"/>
  <c r="C610"/>
  <c r="C604"/>
  <c r="C597"/>
  <c r="C591" s="1"/>
  <c r="C583"/>
  <c r="C575"/>
  <c r="C566"/>
  <c r="C564" s="1"/>
  <c r="C557" s="1"/>
  <c r="C552"/>
  <c r="C547"/>
  <c r="C544"/>
  <c r="C539"/>
  <c r="C538"/>
  <c r="C532" s="1"/>
  <c r="C535"/>
  <c r="C526"/>
  <c r="C525"/>
  <c r="C522"/>
  <c r="C521"/>
  <c r="C516"/>
  <c r="C515"/>
  <c r="C514"/>
  <c r="C512"/>
  <c r="C509"/>
  <c r="C508"/>
  <c r="C507"/>
  <c r="C506"/>
  <c r="C503"/>
  <c r="C500"/>
  <c r="C499" s="1"/>
  <c r="C498"/>
  <c r="C496"/>
  <c r="C495"/>
  <c r="C494"/>
  <c r="C492"/>
  <c r="C491"/>
  <c r="C485"/>
  <c r="C481"/>
  <c r="C480" s="1"/>
  <c r="C478"/>
  <c r="C477"/>
  <c r="C475"/>
  <c r="C474"/>
  <c r="C473"/>
  <c r="C464"/>
  <c r="C463"/>
  <c r="C455"/>
  <c r="C445" s="1"/>
  <c r="C436"/>
  <c r="C424" s="1"/>
  <c r="C416"/>
  <c r="C407"/>
  <c r="C374"/>
  <c r="C373"/>
  <c r="C367"/>
  <c r="C365"/>
  <c r="C357"/>
  <c r="C347"/>
  <c r="C338"/>
  <c r="C337" s="1"/>
  <c r="C328"/>
  <c r="C318"/>
  <c r="C315"/>
  <c r="C309"/>
  <c r="C308"/>
  <c r="C269"/>
  <c r="C261"/>
  <c r="C256"/>
  <c r="C255" s="1"/>
  <c r="C225"/>
  <c r="C220"/>
  <c r="C213"/>
  <c r="C203"/>
  <c r="C198"/>
  <c r="C190"/>
  <c r="C189" s="1"/>
  <c r="C181"/>
  <c r="C174"/>
  <c r="C156"/>
  <c r="C155" s="1"/>
  <c r="C135"/>
  <c r="C109"/>
  <c r="C101"/>
  <c r="C93"/>
  <c r="C86"/>
  <c r="C77" s="1"/>
  <c r="C66"/>
  <c r="C61"/>
  <c r="C53"/>
  <c r="C46"/>
  <c r="C38"/>
  <c r="C37" s="1"/>
  <c r="C31"/>
  <c r="C20"/>
  <c r="C19" s="1"/>
  <c r="C15"/>
  <c r="C9"/>
  <c r="C7" s="1"/>
  <c r="C75" s="1"/>
  <c r="C307" l="1"/>
  <c r="C462"/>
  <c r="C574"/>
  <c r="C864"/>
  <c r="C863" s="1"/>
  <c r="C1207"/>
  <c r="C1742"/>
  <c r="C2011"/>
  <c r="C2061"/>
  <c r="C2060" s="1"/>
  <c r="C2182"/>
  <c r="C2204"/>
  <c r="C2203" s="1"/>
  <c r="C2299"/>
  <c r="C457"/>
  <c r="C505"/>
  <c r="C520"/>
  <c r="C546"/>
  <c r="C634"/>
  <c r="C625" s="1"/>
  <c r="C833"/>
  <c r="C901"/>
  <c r="C1190"/>
  <c r="C1335" s="1"/>
  <c r="C1232"/>
  <c r="C1302"/>
  <c r="C1351"/>
  <c r="C1501"/>
  <c r="C1596" s="1"/>
  <c r="C1538"/>
  <c r="C1537" s="1"/>
  <c r="C2076"/>
  <c r="C2074" s="1"/>
  <c r="C2114"/>
  <c r="C2387"/>
  <c r="C2480"/>
  <c r="C2028"/>
  <c r="C405"/>
  <c r="C968"/>
  <c r="C91"/>
  <c r="C458" s="1"/>
  <c r="C173"/>
  <c r="C186" s="1"/>
  <c r="C472"/>
  <c r="C471" s="1"/>
  <c r="C490"/>
  <c r="C488" s="1"/>
  <c r="C531"/>
  <c r="C738"/>
  <c r="C808"/>
  <c r="C893"/>
  <c r="C892" s="1"/>
  <c r="C1275"/>
  <c r="C1371"/>
  <c r="C1474"/>
  <c r="C1680"/>
  <c r="C1721"/>
  <c r="C1740" s="1"/>
  <c r="C1834"/>
  <c r="C1993"/>
  <c r="C2007" s="1"/>
  <c r="C2054"/>
  <c r="C2044" s="1"/>
  <c r="C2249"/>
  <c r="C2368"/>
  <c r="C680"/>
  <c r="C679"/>
  <c r="C703"/>
  <c r="C752" s="1"/>
  <c r="C702"/>
  <c r="C978"/>
  <c r="C188"/>
  <c r="C513"/>
  <c r="C504" s="1"/>
  <c r="C783"/>
  <c r="C1058"/>
  <c r="C2317"/>
  <c r="C92"/>
  <c r="C1796"/>
  <c r="C403"/>
  <c r="C603"/>
  <c r="C2086" l="1"/>
  <c r="C2166" s="1"/>
  <c r="C860"/>
  <c r="C1424"/>
  <c r="C648"/>
  <c r="C528"/>
  <c r="C699" s="1"/>
  <c r="C2540" s="1"/>
  <c r="C1650"/>
  <c r="H173" i="6" l="1"/>
  <c r="D236" l="1"/>
  <c r="F235"/>
  <c r="D235"/>
  <c r="F231"/>
  <c r="D231"/>
  <c r="F228"/>
  <c r="D228"/>
  <c r="F225"/>
  <c r="D225"/>
  <c r="F218"/>
  <c r="D218"/>
  <c r="I214"/>
  <c r="F214"/>
  <c r="D214"/>
  <c r="F205"/>
  <c r="D205"/>
  <c r="F201"/>
  <c r="D201"/>
  <c r="F198"/>
  <c r="D198"/>
  <c r="F194"/>
  <c r="D194"/>
  <c r="D190"/>
  <c r="D187"/>
  <c r="F181"/>
  <c r="D181"/>
  <c r="G234"/>
  <c r="H234" s="1"/>
  <c r="G233"/>
  <c r="H233" s="1"/>
  <c r="G230"/>
  <c r="H230" s="1"/>
  <c r="H231" s="1"/>
  <c r="G227"/>
  <c r="H227" s="1"/>
  <c r="H228" s="1"/>
  <c r="G224"/>
  <c r="H224" s="1"/>
  <c r="G223"/>
  <c r="H223" s="1"/>
  <c r="G222"/>
  <c r="H222" s="1"/>
  <c r="G221"/>
  <c r="H221" s="1"/>
  <c r="G220"/>
  <c r="H220" s="1"/>
  <c r="G217"/>
  <c r="H217" s="1"/>
  <c r="G216"/>
  <c r="H216" s="1"/>
  <c r="G213"/>
  <c r="H213" s="1"/>
  <c r="G212"/>
  <c r="H212" s="1"/>
  <c r="G211"/>
  <c r="H211" s="1"/>
  <c r="G210"/>
  <c r="H210" s="1"/>
  <c r="G209"/>
  <c r="H209" s="1"/>
  <c r="G208"/>
  <c r="H208" s="1"/>
  <c r="G207"/>
  <c r="H207" s="1"/>
  <c r="G204"/>
  <c r="H204" s="1"/>
  <c r="G203"/>
  <c r="H203" s="1"/>
  <c r="G200"/>
  <c r="H200" s="1"/>
  <c r="H201" s="1"/>
  <c r="G197"/>
  <c r="H197" s="1"/>
  <c r="G196"/>
  <c r="H196" s="1"/>
  <c r="G193"/>
  <c r="H193" s="1"/>
  <c r="G192"/>
  <c r="H192" s="1"/>
  <c r="F189"/>
  <c r="G189" s="1"/>
  <c r="H189" s="1"/>
  <c r="H190" s="1"/>
  <c r="F186"/>
  <c r="G186" s="1"/>
  <c r="H186" s="1"/>
  <c r="G185"/>
  <c r="H185" s="1"/>
  <c r="F184"/>
  <c r="G183"/>
  <c r="H183" s="1"/>
  <c r="A183"/>
  <c r="A186" s="1"/>
  <c r="A189" s="1"/>
  <c r="A192" s="1"/>
  <c r="A193" s="1"/>
  <c r="A196" s="1"/>
  <c r="A197" s="1"/>
  <c r="A200" s="1"/>
  <c r="A203" s="1"/>
  <c r="A204" s="1"/>
  <c r="A207" s="1"/>
  <c r="A208" s="1"/>
  <c r="A209" s="1"/>
  <c r="A210" s="1"/>
  <c r="A211" s="1"/>
  <c r="A212" s="1"/>
  <c r="A213" s="1"/>
  <c r="A216" s="1"/>
  <c r="A217" s="1"/>
  <c r="A220" s="1"/>
  <c r="A221" s="1"/>
  <c r="A222" s="1"/>
  <c r="A223" s="1"/>
  <c r="A224" s="1"/>
  <c r="A227" s="1"/>
  <c r="A230" s="1"/>
  <c r="A233" s="1"/>
  <c r="A234" s="1"/>
  <c r="A284" s="1"/>
  <c r="G180"/>
  <c r="H180" s="1"/>
  <c r="H181" s="1"/>
  <c r="G79"/>
  <c r="G62"/>
  <c r="F62"/>
  <c r="G58"/>
  <c r="F58"/>
  <c r="I55"/>
  <c r="F55"/>
  <c r="F41"/>
  <c r="F38"/>
  <c r="F34"/>
  <c r="G31"/>
  <c r="F31"/>
  <c r="G27"/>
  <c r="F27"/>
  <c r="G24"/>
  <c r="F24"/>
  <c r="F21"/>
  <c r="F15"/>
  <c r="I267"/>
  <c r="F269"/>
  <c r="D269"/>
  <c r="F264"/>
  <c r="F259"/>
  <c r="F255"/>
  <c r="F251"/>
  <c r="F247"/>
  <c r="F241"/>
  <c r="D259"/>
  <c r="I176"/>
  <c r="I177" s="1"/>
  <c r="D166"/>
  <c r="F157"/>
  <c r="D157"/>
  <c r="D146"/>
  <c r="I127"/>
  <c r="F127"/>
  <c r="D127"/>
  <c r="H235" l="1"/>
  <c r="G235"/>
  <c r="H225"/>
  <c r="H205"/>
  <c r="G231"/>
  <c r="G228"/>
  <c r="F190"/>
  <c r="H198"/>
  <c r="H218"/>
  <c r="G225"/>
  <c r="G218"/>
  <c r="H214"/>
  <c r="G214"/>
  <c r="H194"/>
  <c r="G205"/>
  <c r="G201"/>
  <c r="G198"/>
  <c r="G194"/>
  <c r="G190"/>
  <c r="F187"/>
  <c r="F236" s="1"/>
  <c r="G184"/>
  <c r="H184" s="1"/>
  <c r="H187" s="1"/>
  <c r="G181"/>
  <c r="F270"/>
  <c r="F63"/>
  <c r="F121"/>
  <c r="D121"/>
  <c r="F118"/>
  <c r="D118"/>
  <c r="G115"/>
  <c r="I115"/>
  <c r="D115"/>
  <c r="G85"/>
  <c r="F85"/>
  <c r="D85"/>
  <c r="G281"/>
  <c r="H281" s="1"/>
  <c r="F281"/>
  <c r="D281"/>
  <c r="H280"/>
  <c r="H279"/>
  <c r="H278"/>
  <c r="H277"/>
  <c r="H276"/>
  <c r="H275"/>
  <c r="H274"/>
  <c r="H273"/>
  <c r="H272"/>
  <c r="G268"/>
  <c r="H268" s="1"/>
  <c r="G267"/>
  <c r="H267" s="1"/>
  <c r="G266"/>
  <c r="D264"/>
  <c r="G263"/>
  <c r="H263" s="1"/>
  <c r="G262"/>
  <c r="H262" s="1"/>
  <c r="G261"/>
  <c r="G258"/>
  <c r="H258" s="1"/>
  <c r="G257"/>
  <c r="G254"/>
  <c r="H254" s="1"/>
  <c r="G253"/>
  <c r="G250"/>
  <c r="H250" s="1"/>
  <c r="G249"/>
  <c r="D247"/>
  <c r="G246"/>
  <c r="H246" s="1"/>
  <c r="G245"/>
  <c r="H245" s="1"/>
  <c r="G244"/>
  <c r="H244" s="1"/>
  <c r="G243"/>
  <c r="G240"/>
  <c r="H240" s="1"/>
  <c r="G239"/>
  <c r="F176"/>
  <c r="D176"/>
  <c r="G175"/>
  <c r="F173"/>
  <c r="D173"/>
  <c r="G172"/>
  <c r="F170"/>
  <c r="D170"/>
  <c r="G169"/>
  <c r="H169" s="1"/>
  <c r="G168"/>
  <c r="H168" s="1"/>
  <c r="G165"/>
  <c r="H165" s="1"/>
  <c r="G164"/>
  <c r="H164" s="1"/>
  <c r="G163"/>
  <c r="H163" s="1"/>
  <c r="G162"/>
  <c r="H162" s="1"/>
  <c r="G161"/>
  <c r="H161" s="1"/>
  <c r="G160"/>
  <c r="F159"/>
  <c r="F166" s="1"/>
  <c r="G156"/>
  <c r="D154"/>
  <c r="G153"/>
  <c r="H153" s="1"/>
  <c r="F152"/>
  <c r="G152" s="1"/>
  <c r="H152" s="1"/>
  <c r="F151"/>
  <c r="G151" s="1"/>
  <c r="H151" s="1"/>
  <c r="G150"/>
  <c r="H150" s="1"/>
  <c r="G149"/>
  <c r="H149" s="1"/>
  <c r="F148"/>
  <c r="F145"/>
  <c r="G145" s="1"/>
  <c r="H145" s="1"/>
  <c r="G144"/>
  <c r="H144" s="1"/>
  <c r="F143"/>
  <c r="G143" s="1"/>
  <c r="H143" s="1"/>
  <c r="F142"/>
  <c r="G142" s="1"/>
  <c r="H142" s="1"/>
  <c r="F141"/>
  <c r="G141" s="1"/>
  <c r="H141" s="1"/>
  <c r="G140"/>
  <c r="H140" s="1"/>
  <c r="F139"/>
  <c r="G138"/>
  <c r="H138" s="1"/>
  <c r="G137"/>
  <c r="H137" s="1"/>
  <c r="G136"/>
  <c r="H136" s="1"/>
  <c r="G135"/>
  <c r="H135" s="1"/>
  <c r="G134"/>
  <c r="H134" s="1"/>
  <c r="G133"/>
  <c r="H133" s="1"/>
  <c r="G132"/>
  <c r="H132" s="1"/>
  <c r="G131"/>
  <c r="G126"/>
  <c r="H126" s="1"/>
  <c r="G125"/>
  <c r="H125" s="1"/>
  <c r="G124"/>
  <c r="H124" s="1"/>
  <c r="G123"/>
  <c r="G120"/>
  <c r="H120" s="1"/>
  <c r="H121" s="1"/>
  <c r="G117"/>
  <c r="H117" s="1"/>
  <c r="H118" s="1"/>
  <c r="H114"/>
  <c r="F114"/>
  <c r="A114"/>
  <c r="A117" s="1"/>
  <c r="A120" s="1"/>
  <c r="A123" s="1"/>
  <c r="A124" s="1"/>
  <c r="A125" s="1"/>
  <c r="A126" s="1"/>
  <c r="H113"/>
  <c r="F113"/>
  <c r="G109"/>
  <c r="F109"/>
  <c r="D109"/>
  <c r="H108"/>
  <c r="H107"/>
  <c r="G105"/>
  <c r="F105"/>
  <c r="D105"/>
  <c r="H104"/>
  <c r="H103"/>
  <c r="G101"/>
  <c r="F101"/>
  <c r="D101"/>
  <c r="H100"/>
  <c r="H99"/>
  <c r="G97"/>
  <c r="F97"/>
  <c r="D97"/>
  <c r="H96"/>
  <c r="H95"/>
  <c r="G93"/>
  <c r="F93"/>
  <c r="D93"/>
  <c r="H92"/>
  <c r="H91"/>
  <c r="H90"/>
  <c r="A90"/>
  <c r="A91" s="1"/>
  <c r="A92" s="1"/>
  <c r="A95" s="1"/>
  <c r="A96" s="1"/>
  <c r="A99" s="1"/>
  <c r="A100" s="1"/>
  <c r="A103" s="1"/>
  <c r="A104" s="1"/>
  <c r="A107" s="1"/>
  <c r="A108" s="1"/>
  <c r="H89"/>
  <c r="H84"/>
  <c r="H85" s="1"/>
  <c r="G82"/>
  <c r="F82"/>
  <c r="D82"/>
  <c r="H81"/>
  <c r="H82" s="1"/>
  <c r="F79"/>
  <c r="D79"/>
  <c r="H78"/>
  <c r="H77"/>
  <c r="H76"/>
  <c r="H75"/>
  <c r="H74"/>
  <c r="G72"/>
  <c r="F72"/>
  <c r="D72"/>
  <c r="H71"/>
  <c r="H70"/>
  <c r="H69"/>
  <c r="H68"/>
  <c r="H67"/>
  <c r="H66"/>
  <c r="H61"/>
  <c r="H60"/>
  <c r="H57"/>
  <c r="H58" s="1"/>
  <c r="D55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H46"/>
  <c r="G45"/>
  <c r="H45" s="1"/>
  <c r="G44"/>
  <c r="H44" s="1"/>
  <c r="G43"/>
  <c r="D41"/>
  <c r="G40"/>
  <c r="D38"/>
  <c r="G37"/>
  <c r="G38" s="1"/>
  <c r="H36"/>
  <c r="D34"/>
  <c r="G33"/>
  <c r="H30"/>
  <c r="H29"/>
  <c r="D27"/>
  <c r="H26"/>
  <c r="H27" s="1"/>
  <c r="D24"/>
  <c r="H23"/>
  <c r="H24" s="1"/>
  <c r="D21"/>
  <c r="G20"/>
  <c r="H20" s="1"/>
  <c r="G19"/>
  <c r="H17"/>
  <c r="D15"/>
  <c r="G14"/>
  <c r="H14" s="1"/>
  <c r="G13"/>
  <c r="H13" s="1"/>
  <c r="G12"/>
  <c r="H12" s="1"/>
  <c r="G11"/>
  <c r="H11" s="1"/>
  <c r="G10"/>
  <c r="H10" s="1"/>
  <c r="A10"/>
  <c r="A11" s="1"/>
  <c r="A12" s="1"/>
  <c r="A13" s="1"/>
  <c r="A14" s="1"/>
  <c r="G9"/>
  <c r="H236" l="1"/>
  <c r="G187"/>
  <c r="G236" s="1"/>
  <c r="D177"/>
  <c r="D63"/>
  <c r="F86"/>
  <c r="H170"/>
  <c r="H31"/>
  <c r="D270"/>
  <c r="H266"/>
  <c r="H269" s="1"/>
  <c r="G269"/>
  <c r="H40"/>
  <c r="H41" s="1"/>
  <c r="G41"/>
  <c r="H79"/>
  <c r="G176"/>
  <c r="H175"/>
  <c r="H176" s="1"/>
  <c r="H33"/>
  <c r="H34" s="1"/>
  <c r="G34"/>
  <c r="H261"/>
  <c r="H264" s="1"/>
  <c r="G264"/>
  <c r="H9"/>
  <c r="H15" s="1"/>
  <c r="G15"/>
  <c r="H72"/>
  <c r="G86"/>
  <c r="H243"/>
  <c r="H247" s="1"/>
  <c r="G247"/>
  <c r="H257"/>
  <c r="H259" s="1"/>
  <c r="G259"/>
  <c r="H19"/>
  <c r="H21" s="1"/>
  <c r="G21"/>
  <c r="H253"/>
  <c r="H255" s="1"/>
  <c r="G255"/>
  <c r="H43"/>
  <c r="H55" s="1"/>
  <c r="G55"/>
  <c r="H62"/>
  <c r="D86"/>
  <c r="G157"/>
  <c r="H156"/>
  <c r="H157" s="1"/>
  <c r="G173"/>
  <c r="H172"/>
  <c r="H239"/>
  <c r="H241" s="1"/>
  <c r="G241"/>
  <c r="H249"/>
  <c r="H251" s="1"/>
  <c r="G251"/>
  <c r="H160"/>
  <c r="D128"/>
  <c r="H123"/>
  <c r="H127" s="1"/>
  <c r="G127"/>
  <c r="H131"/>
  <c r="G139"/>
  <c r="H139" s="1"/>
  <c r="F146"/>
  <c r="F115"/>
  <c r="F128" s="1"/>
  <c r="H115"/>
  <c r="G118"/>
  <c r="G121"/>
  <c r="H97"/>
  <c r="G170"/>
  <c r="H101"/>
  <c r="G110"/>
  <c r="H109"/>
  <c r="D110"/>
  <c r="F154"/>
  <c r="F110"/>
  <c r="H105"/>
  <c r="H93"/>
  <c r="G148"/>
  <c r="G159"/>
  <c r="H159" s="1"/>
  <c r="H37"/>
  <c r="H38" s="1"/>
  <c r="A222" i="5"/>
  <c r="A223" s="1"/>
  <c r="A224" s="1"/>
  <c r="A225" s="1"/>
  <c r="A226" s="1"/>
  <c r="A227" s="1"/>
  <c r="A228" s="1"/>
  <c r="A229" s="1"/>
  <c r="A210"/>
  <c r="A207"/>
  <c r="A204"/>
  <c r="A152"/>
  <c r="A153" s="1"/>
  <c r="A154" s="1"/>
  <c r="A158" s="1"/>
  <c r="A159" s="1"/>
  <c r="A161" s="1"/>
  <c r="A162" s="1"/>
  <c r="A164" s="1"/>
  <c r="A166" s="1"/>
  <c r="A167" s="1"/>
  <c r="A169" s="1"/>
  <c r="A170" s="1"/>
  <c r="A171" s="1"/>
  <c r="A172" s="1"/>
  <c r="A173" s="1"/>
  <c r="A174" s="1"/>
  <c r="A175" s="1"/>
  <c r="A177" s="1"/>
  <c r="A178" s="1"/>
  <c r="A180" s="1"/>
  <c r="A181" s="1"/>
  <c r="A182" s="1"/>
  <c r="A183" s="1"/>
  <c r="A184" s="1"/>
  <c r="A186" s="1"/>
  <c r="A188" s="1"/>
  <c r="A190" s="1"/>
  <c r="A191" s="1"/>
  <c r="A95"/>
  <c r="A97" s="1"/>
  <c r="A99" s="1"/>
  <c r="A101" s="1"/>
  <c r="A102" s="1"/>
  <c r="A103" s="1"/>
  <c r="A104" s="1"/>
  <c r="A75"/>
  <c r="A76" s="1"/>
  <c r="A77" s="1"/>
  <c r="A79" s="1"/>
  <c r="A80" s="1"/>
  <c r="A82" s="1"/>
  <c r="A83" s="1"/>
  <c r="A85" s="1"/>
  <c r="A86" s="1"/>
  <c r="A88" s="1"/>
  <c r="A89" s="1"/>
  <c r="A63"/>
  <c r="A64" s="1"/>
  <c r="A65" s="1"/>
  <c r="A66" s="1"/>
  <c r="A56"/>
  <c r="A57" s="1"/>
  <c r="A58" s="1"/>
  <c r="A59" s="1"/>
  <c r="A60" s="1"/>
  <c r="A51"/>
  <c r="A37"/>
  <c r="A38" s="1"/>
  <c r="A39" s="1"/>
  <c r="A40" s="1"/>
  <c r="A41" s="1"/>
  <c r="A42" s="1"/>
  <c r="A43" s="1"/>
  <c r="A44" s="1"/>
  <c r="A45" s="1"/>
  <c r="A46" s="1"/>
  <c r="A10"/>
  <c r="A11" s="1"/>
  <c r="A12" s="1"/>
  <c r="A13" s="1"/>
  <c r="A14" s="1"/>
  <c r="H86" i="6" l="1"/>
  <c r="G146"/>
  <c r="H128"/>
  <c r="G270"/>
  <c r="H270"/>
  <c r="G128"/>
  <c r="H166"/>
  <c r="F177"/>
  <c r="F283" s="1"/>
  <c r="G166"/>
  <c r="G63"/>
  <c r="H63"/>
  <c r="H146"/>
  <c r="G154"/>
  <c r="G177" s="1"/>
  <c r="H148"/>
  <c r="H154" s="1"/>
  <c r="H110"/>
  <c r="G283" l="1"/>
  <c r="H177"/>
  <c r="H283" s="1"/>
  <c r="H285" l="1"/>
  <c r="H286" s="1"/>
  <c r="H287" s="1"/>
  <c r="H284"/>
</calcChain>
</file>

<file path=xl/sharedStrings.xml><?xml version="1.0" encoding="utf-8"?>
<sst xmlns="http://schemas.openxmlformats.org/spreadsheetml/2006/main" count="8494" uniqueCount="1011">
  <si>
    <t>Приложение № 1</t>
  </si>
  <si>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</si>
  <si>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</si>
  <si>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</si>
  <si>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</si>
  <si>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</si>
  <si>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ФИО</t>
  </si>
  <si>
    <t>Мелеузовский МУЭС -центр</t>
  </si>
  <si>
    <t>ул.Воровского 2</t>
  </si>
  <si>
    <t>2 раза в год</t>
  </si>
  <si>
    <t>Идрисова Г.Ф. (на время д/о Аминевой И.Т.)</t>
  </si>
  <si>
    <t>а)</t>
  </si>
  <si>
    <t>1 этаж</t>
  </si>
  <si>
    <t>7</t>
  </si>
  <si>
    <t xml:space="preserve">коридор </t>
  </si>
  <si>
    <t>1-3</t>
  </si>
  <si>
    <t>10 раз в неделю</t>
  </si>
  <si>
    <t>кабинеты</t>
  </si>
  <si>
    <t>5 раз в неделю</t>
  </si>
  <si>
    <t>комната приема пищи</t>
  </si>
  <si>
    <t>1,3</t>
  </si>
  <si>
    <t>сан. узел</t>
  </si>
  <si>
    <t>1-4</t>
  </si>
  <si>
    <t>тепловой пункт</t>
  </si>
  <si>
    <t>склад</t>
  </si>
  <si>
    <t>клиентурный зал</t>
  </si>
  <si>
    <t xml:space="preserve">шахта </t>
  </si>
  <si>
    <t>3</t>
  </si>
  <si>
    <t>1 раз в месяц</t>
  </si>
  <si>
    <t>б)</t>
  </si>
  <si>
    <t>2 этаж</t>
  </si>
  <si>
    <t>Гаврилова Г.Т.</t>
  </si>
  <si>
    <t>6</t>
  </si>
  <si>
    <t>приемная, кабинет директора</t>
  </si>
  <si>
    <t>фойе</t>
  </si>
  <si>
    <t>лестницы</t>
  </si>
  <si>
    <t>технические помещения</t>
  </si>
  <si>
    <t>в)</t>
  </si>
  <si>
    <t>3 этаж</t>
  </si>
  <si>
    <t>коридор</t>
  </si>
  <si>
    <t>архив</t>
  </si>
  <si>
    <t>красный уголок</t>
  </si>
  <si>
    <t>1 раз в неделю</t>
  </si>
  <si>
    <t>ул.Смоленская 45</t>
  </si>
  <si>
    <t>Халитова Ф.А.</t>
  </si>
  <si>
    <t>складское помещение</t>
  </si>
  <si>
    <t>дизельная</t>
  </si>
  <si>
    <t>лестница</t>
  </si>
  <si>
    <t>Подвал</t>
  </si>
  <si>
    <t>КСУ</t>
  </si>
  <si>
    <t>Барон С.В.</t>
  </si>
  <si>
    <t>тренажерный зал</t>
  </si>
  <si>
    <t>спортивный зал</t>
  </si>
  <si>
    <t>ул. Ленина 133</t>
  </si>
  <si>
    <t>1,4</t>
  </si>
  <si>
    <t>ПКП</t>
  </si>
  <si>
    <t>АПП</t>
  </si>
  <si>
    <t xml:space="preserve"> Куланбаева А.У.</t>
  </si>
  <si>
    <t>Итого</t>
  </si>
  <si>
    <t>Кумертауский РУС</t>
  </si>
  <si>
    <t>Ленина, 5</t>
  </si>
  <si>
    <t>Модина О.Н.</t>
  </si>
  <si>
    <t>охрана</t>
  </si>
  <si>
    <t>бытовые помещения</t>
  </si>
  <si>
    <t>1 раз в 2 недели</t>
  </si>
  <si>
    <t>хозяйственные помещения</t>
  </si>
  <si>
    <t>Ахметьзянова А.Ф.</t>
  </si>
  <si>
    <t>5</t>
  </si>
  <si>
    <t>2 раза в неделю</t>
  </si>
  <si>
    <t>2)</t>
  </si>
  <si>
    <t>ул. Ленина, 6а</t>
  </si>
  <si>
    <t>производственные помещения</t>
  </si>
  <si>
    <t>6-7</t>
  </si>
  <si>
    <t>складские помещения</t>
  </si>
  <si>
    <t>музей</t>
  </si>
  <si>
    <t>актовый зал</t>
  </si>
  <si>
    <t xml:space="preserve">лестницы </t>
  </si>
  <si>
    <t>Варова Н.И.</t>
  </si>
  <si>
    <t xml:space="preserve">1 этаж </t>
  </si>
  <si>
    <t>2 этаж,</t>
  </si>
  <si>
    <t xml:space="preserve">ул.Куюргазинская, 2а </t>
  </si>
  <si>
    <t>г)</t>
  </si>
  <si>
    <t>ул.Куюргазинская, 2а,</t>
  </si>
  <si>
    <t>д)</t>
  </si>
  <si>
    <t>переговорный пункт</t>
  </si>
  <si>
    <t xml:space="preserve">бытовое помещение </t>
  </si>
  <si>
    <t>ул.Куюргазинская, 2а</t>
  </si>
  <si>
    <t>Мурина Е.А.</t>
  </si>
  <si>
    <t>3 раза в неделю</t>
  </si>
  <si>
    <t>Ермолаево, ул Советская,105</t>
  </si>
  <si>
    <t>Мухаметьзярова М.Г.</t>
  </si>
  <si>
    <t>Ермолаево, пр. Мира</t>
  </si>
  <si>
    <t>Исянгуловский РУС</t>
  </si>
  <si>
    <t>Советская 7</t>
  </si>
  <si>
    <t>Чернышова Г.П.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</si>
  <si>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</si>
  <si>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</si>
  <si>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</si>
  <si>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</si>
  <si>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Суюндукова Л.М.</t>
  </si>
  <si>
    <t>телеграфная</t>
  </si>
  <si>
    <t>техническое помещение</t>
  </si>
  <si>
    <t xml:space="preserve">3 этаж </t>
  </si>
  <si>
    <t>приемная</t>
  </si>
  <si>
    <t>сан.узел</t>
  </si>
  <si>
    <t xml:space="preserve">кабинеты </t>
  </si>
  <si>
    <t>всего по МУЭС</t>
  </si>
  <si>
    <t>Месягутовский МУЭС</t>
  </si>
  <si>
    <t>Месягутово-центр</t>
  </si>
  <si>
    <t>с. Месягутово, ул. Коммунистическая, 24</t>
  </si>
  <si>
    <t>Габова М.В.</t>
  </si>
  <si>
    <t>1, 3</t>
  </si>
  <si>
    <t>2, 3</t>
  </si>
  <si>
    <t>1, 4-5</t>
  </si>
  <si>
    <t>операционный зал</t>
  </si>
  <si>
    <t>Паначева В.А.</t>
  </si>
  <si>
    <t>с. Месягутово, ул. Электрическая, 4</t>
  </si>
  <si>
    <t>Гумерова Г.М.</t>
  </si>
  <si>
    <t>вестибюль</t>
  </si>
  <si>
    <t>с. Дуван, ул. Михляева, 1а</t>
  </si>
  <si>
    <t>Швалева М.А.</t>
  </si>
  <si>
    <t>Большеустьикинский РУС</t>
  </si>
  <si>
    <t>с. Большеустьикинское, ул. Ленина, 24</t>
  </si>
  <si>
    <t>Ахмедьянова И.Р.</t>
  </si>
  <si>
    <t>1,4-5</t>
  </si>
  <si>
    <t>Иксанова Г.М.</t>
  </si>
  <si>
    <t>Верхнекигинский РУС</t>
  </si>
  <si>
    <t>с. Верхние Киги, ул. Советская, 12</t>
  </si>
  <si>
    <t>Мухаметшина И.Я.</t>
  </si>
  <si>
    <t>Зайнуллина Р.Х.</t>
  </si>
  <si>
    <t>комната отдыха</t>
  </si>
  <si>
    <t>Малоязовский РУС</t>
  </si>
  <si>
    <t>с. Малояз, ул. Советская, 63</t>
  </si>
  <si>
    <t>Юдина Г.А.</t>
  </si>
  <si>
    <t>Митюшина Р.Г.</t>
  </si>
  <si>
    <t>Новобелокатайский РУС</t>
  </si>
  <si>
    <t>с. Новобелокатай, ул. Советская, 107</t>
  </si>
  <si>
    <t>Черепанова Л.А.</t>
  </si>
  <si>
    <t>Черепанова Н.М.</t>
  </si>
  <si>
    <t>Сибайский МУЭС</t>
  </si>
  <si>
    <t>Акъярский РУС</t>
  </si>
  <si>
    <t>с. Акъяр, ул.Акмуллы, 7</t>
  </si>
  <si>
    <t>Байрамгулова С.Р.</t>
  </si>
  <si>
    <t>Клиентурный зал, абон. отдел, тамбур</t>
  </si>
  <si>
    <t>кабины переговорные, ПКП</t>
  </si>
  <si>
    <t>2-4</t>
  </si>
  <si>
    <t>подсобные помещения, архив</t>
  </si>
  <si>
    <t>крыльцо</t>
  </si>
  <si>
    <t>2,3</t>
  </si>
  <si>
    <t>перегородки</t>
  </si>
  <si>
    <t>2 раза в месяц</t>
  </si>
  <si>
    <t>Подсобные, технические помещения</t>
  </si>
  <si>
    <t>Байгускарова Л.М.</t>
  </si>
  <si>
    <t>подсобные помещения</t>
  </si>
  <si>
    <t>Баймакский РУС</t>
  </si>
  <si>
    <t>г. Баймак,пр. С. Юлаева, 44</t>
  </si>
  <si>
    <t>Аюпова З.К.</t>
  </si>
  <si>
    <t xml:space="preserve">1, этаж </t>
  </si>
  <si>
    <t>музейное помещение</t>
  </si>
  <si>
    <t>гостиница</t>
  </si>
  <si>
    <t>Зилаирский РУС</t>
  </si>
  <si>
    <t>с. Зилаир, ул. Ленина, д. 64а</t>
  </si>
  <si>
    <t>Тулябаева Л.А.</t>
  </si>
  <si>
    <t>Клиентурный зал, абон. отдел</t>
  </si>
  <si>
    <t>Сибайский МУЭС-центр</t>
  </si>
  <si>
    <t>г. Сибай, ул. Горького 53а</t>
  </si>
  <si>
    <t>Рыскужина Т.Ф.</t>
  </si>
  <si>
    <t>гараж</t>
  </si>
  <si>
    <t>г. Сибай, ул. Кирова, 31</t>
  </si>
  <si>
    <t>подвал</t>
  </si>
  <si>
    <t>перегородка</t>
  </si>
  <si>
    <t>г. Сибай,ул.Индустриальное шоссе, 2</t>
  </si>
  <si>
    <t>Сорокина И.А.</t>
  </si>
  <si>
    <t>клиентурные залы</t>
  </si>
  <si>
    <t>подсобное помещение</t>
  </si>
  <si>
    <t>спортзал</t>
  </si>
  <si>
    <t>Гущенская Т.Б.</t>
  </si>
  <si>
    <t>4 этаж</t>
  </si>
  <si>
    <t>1 раз в квартал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</si>
  <si>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</si>
  <si>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</si>
  <si>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</si>
  <si>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</si>
  <si>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</si>
  <si>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</si>
  <si>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</si>
  <si>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</si>
  <si>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</si>
  <si>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</si>
  <si>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</si>
  <si>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</si>
  <si>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</si>
  <si>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</si>
  <si>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</si>
  <si>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</si>
  <si>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</si>
  <si>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</si>
  <si>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</si>
  <si>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</si>
  <si>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</si>
  <si>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</si>
  <si>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</si>
  <si>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 Сибаева, д. 44к</t>
  </si>
  <si>
    <t>ул. Зилаирское шоссе, д. 1</t>
  </si>
  <si>
    <t>ул. Горная, д. 44</t>
  </si>
  <si>
    <t>ул. Восточное шоссе, д. 12/а</t>
  </si>
  <si>
    <t>ул. Гаражная, д. 1 (п. Дружба)</t>
  </si>
  <si>
    <t>з)</t>
  </si>
  <si>
    <t>Павлова Н.Н.</t>
  </si>
  <si>
    <t>оборудование</t>
  </si>
  <si>
    <t>1</t>
  </si>
  <si>
    <t>комната отдыха, комната приема пищи</t>
  </si>
  <si>
    <t>Дружбы 29б (АТС-41-43)</t>
  </si>
  <si>
    <t>Евдокимова И.Л.</t>
  </si>
  <si>
    <t xml:space="preserve"> </t>
  </si>
  <si>
    <t>бытовое помещение</t>
  </si>
  <si>
    <t>помещение охраников</t>
  </si>
  <si>
    <t>кабинет</t>
  </si>
  <si>
    <t>лестничный марш</t>
  </si>
  <si>
    <t>Гоголя 118а (АТС-26)</t>
  </si>
  <si>
    <t>Каримова Ф.Ф.</t>
  </si>
  <si>
    <t>помещение охраны</t>
  </si>
  <si>
    <t>комната приёма пищи</t>
  </si>
  <si>
    <t>Салавата Юлаева - 13а (АТС-28)</t>
  </si>
  <si>
    <t>Совмещение професси</t>
  </si>
  <si>
    <t>Сакко и Ванцетти - 23 (АТС-25)</t>
  </si>
  <si>
    <t>Крыльцо</t>
  </si>
  <si>
    <t>Вход (тамбур)</t>
  </si>
  <si>
    <t>Зал (кабины)</t>
  </si>
  <si>
    <t>Касса</t>
  </si>
  <si>
    <t>Комната радиоузла</t>
  </si>
  <si>
    <t>Санузел</t>
  </si>
  <si>
    <t>Абдуллина М.У.</t>
  </si>
  <si>
    <t>Коридор</t>
  </si>
  <si>
    <t>Лестница с третьего этажа до подвала (левый вход)</t>
  </si>
  <si>
    <t xml:space="preserve">Коридор  </t>
  </si>
  <si>
    <t>Склад таксофонщиков</t>
  </si>
  <si>
    <t>Бойлерная</t>
  </si>
  <si>
    <t>Склад</t>
  </si>
  <si>
    <t xml:space="preserve"> 1 раз в месяц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</si>
  <si>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</si>
  <si>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</si>
  <si>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</si>
  <si>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</si>
  <si>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</si>
  <si>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Кросс</t>
  </si>
  <si>
    <t>ИКМ</t>
  </si>
  <si>
    <t>Инженер</t>
  </si>
  <si>
    <t>Комната отдыха</t>
  </si>
  <si>
    <t>Подсобное помещение</t>
  </si>
  <si>
    <t>Самородова А.Г.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</si>
  <si>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</si>
  <si>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</si>
  <si>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</si>
  <si>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</si>
  <si>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</si>
  <si>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</si>
  <si>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</si>
  <si>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</si>
  <si>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</si>
  <si>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</si>
  <si>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</si>
  <si>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</si>
  <si>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Шахта</t>
  </si>
  <si>
    <t>Копрес. сигнал. устр.</t>
  </si>
  <si>
    <t>Водомерный узел</t>
  </si>
  <si>
    <t>Венткамера</t>
  </si>
  <si>
    <t>Помещение охранников</t>
  </si>
  <si>
    <t>Аглиуллина Ф.Р.</t>
  </si>
  <si>
    <t>с. Наумовка Ленина - 20</t>
  </si>
  <si>
    <t>Зайнутдинова Н.Ю.</t>
  </si>
  <si>
    <t>здание АТС</t>
  </si>
  <si>
    <t>Щербина Н.И.</t>
  </si>
  <si>
    <t>расчетный пункт</t>
  </si>
  <si>
    <t>4 раза в год</t>
  </si>
  <si>
    <t>помещение для терминалов</t>
  </si>
  <si>
    <t>ежедневно</t>
  </si>
  <si>
    <t xml:space="preserve">2 раза в неделю </t>
  </si>
  <si>
    <t>помещение почтальонов</t>
  </si>
  <si>
    <t xml:space="preserve">кабинет </t>
  </si>
  <si>
    <t>помещения отдела информационных технолоший</t>
  </si>
  <si>
    <t>комната уборщиков</t>
  </si>
  <si>
    <t>сушильное помещение</t>
  </si>
  <si>
    <t>медпункт</t>
  </si>
  <si>
    <t>Кузьмина О.А.</t>
  </si>
  <si>
    <t>служебный вход</t>
  </si>
  <si>
    <t>служебные помещения</t>
  </si>
  <si>
    <t>лестничная площадка</t>
  </si>
  <si>
    <t>служебное помещение</t>
  </si>
  <si>
    <t>склпадское помещение</t>
  </si>
  <si>
    <t>помещения цеха продаж</t>
  </si>
  <si>
    <t>буфет (зал приёма пищи)</t>
  </si>
  <si>
    <t>запасный лестничный марш 1-5 этаж</t>
  </si>
  <si>
    <t>Пищулина Е.В.</t>
  </si>
  <si>
    <t>лестничный марш 1-2 этаж</t>
  </si>
  <si>
    <t>помещение музея</t>
  </si>
  <si>
    <t>Худайбердина - 60 (П/П)</t>
  </si>
  <si>
    <t>Переговорный пункт</t>
  </si>
  <si>
    <t>помещение переговорного пункта</t>
  </si>
  <si>
    <t>Биглова Л.Ф.</t>
  </si>
  <si>
    <t>Транспортный цех</t>
  </si>
  <si>
    <t xml:space="preserve">лестничный марш  </t>
  </si>
  <si>
    <t>боксы</t>
  </si>
  <si>
    <t>Егорова В.Н.</t>
  </si>
  <si>
    <t>зал селекторного совещания</t>
  </si>
  <si>
    <t xml:space="preserve">кабинет  </t>
  </si>
  <si>
    <t>Алтынбаева Г.Г.</t>
  </si>
  <si>
    <t>Советская -74 (Здание узла связи)</t>
  </si>
  <si>
    <t>Лотц Л.П.</t>
  </si>
  <si>
    <t>2  этаж</t>
  </si>
  <si>
    <t>Боровиков Л.Ф.</t>
  </si>
  <si>
    <t>запасный лестничный марш</t>
  </si>
  <si>
    <t>техническое помещени</t>
  </si>
  <si>
    <t>помещение бомбоубежища</t>
  </si>
  <si>
    <t>Хазипова С.К.</t>
  </si>
  <si>
    <t xml:space="preserve"> 4 этаж</t>
  </si>
  <si>
    <t>Геологическая -11(П/П)</t>
  </si>
  <si>
    <t>Фейлер В.И.</t>
  </si>
  <si>
    <t>пеереговорный пункт</t>
  </si>
  <si>
    <t>Докучаево - 12(АТС-2)</t>
  </si>
  <si>
    <t>Аганина С.В.</t>
  </si>
  <si>
    <t>Коммунистическая - 10(Здание узла связи)</t>
  </si>
  <si>
    <t>Искандарова Л.В.</t>
  </si>
  <si>
    <t>техническое помещения</t>
  </si>
  <si>
    <t>помещение архива</t>
  </si>
  <si>
    <t>Галкина Т.М.</t>
  </si>
  <si>
    <t>зал видеоконференции</t>
  </si>
  <si>
    <t>лестничный марш 1-3 этаж</t>
  </si>
  <si>
    <t>Карева Г.Е.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</si>
  <si>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</si>
  <si>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</si>
  <si>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</si>
  <si>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</si>
  <si>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</si>
  <si>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</si>
  <si>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Лазаренко Г.А.</t>
  </si>
  <si>
    <t>1  этаж</t>
  </si>
  <si>
    <t>тамбор</t>
  </si>
  <si>
    <t>ЦПП</t>
  </si>
  <si>
    <t>зпасный лестничный марш с 1 -3 этаж</t>
  </si>
  <si>
    <t>склады</t>
  </si>
  <si>
    <t>радиоузел</t>
  </si>
  <si>
    <t>3 раз в неделю</t>
  </si>
  <si>
    <t>душевая</t>
  </si>
  <si>
    <t>раздевалка</t>
  </si>
  <si>
    <t xml:space="preserve">Григорьева В.М. </t>
  </si>
  <si>
    <t xml:space="preserve">архив </t>
  </si>
  <si>
    <t>бокс</t>
  </si>
  <si>
    <t>Мельникова С.А.</t>
  </si>
  <si>
    <t>Гагарина - 5 (АТС -35)</t>
  </si>
  <si>
    <t>комната охраны</t>
  </si>
  <si>
    <t>Островского - 53 (АТС -33-34)</t>
  </si>
  <si>
    <t>Абубакирова Э.Т.</t>
  </si>
  <si>
    <t xml:space="preserve">запасный лестничный марш  </t>
  </si>
  <si>
    <t>Мазитова З.Я.</t>
  </si>
  <si>
    <t>мастерская по ремонту телефонов</t>
  </si>
  <si>
    <t>боксс</t>
  </si>
  <si>
    <t>раздевалки</t>
  </si>
  <si>
    <t>помещение радиоузла</t>
  </si>
  <si>
    <t>Исмагилова В.Н.</t>
  </si>
  <si>
    <t>Ахтямова М.Х.</t>
  </si>
  <si>
    <t>Канакова С.В.</t>
  </si>
  <si>
    <t xml:space="preserve">комната отдыха </t>
  </si>
  <si>
    <t>Бакалинский РУС</t>
  </si>
  <si>
    <t>ул.Мостовая,4</t>
  </si>
  <si>
    <t>Шаймарданова Ф.Ю.</t>
  </si>
  <si>
    <t>1 раза в неделю</t>
  </si>
  <si>
    <t>5 раза в неделю</t>
  </si>
  <si>
    <t>2 раз в неделю</t>
  </si>
  <si>
    <t>Белебеевский РУС</t>
  </si>
  <si>
    <t>г.Белебей, ул.Ленина, 7</t>
  </si>
  <si>
    <t>Квашнина Г.Н.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</si>
  <si>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</si>
  <si>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</si>
  <si>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</si>
  <si>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</si>
  <si>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</si>
  <si>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Валинурова О.М.</t>
  </si>
  <si>
    <t>ж)</t>
  </si>
  <si>
    <t>п.Приютово, Бульвар Мира, 2а</t>
  </si>
  <si>
    <t>Халирахманова А.В.</t>
  </si>
  <si>
    <t>подвальный этаж</t>
  </si>
  <si>
    <t>Бижбулякский РУС</t>
  </si>
  <si>
    <t>ул.Центральная, 50а</t>
  </si>
  <si>
    <t>Павлова В.А.</t>
  </si>
  <si>
    <t xml:space="preserve"> Буздякский РУС</t>
  </si>
  <si>
    <t>ул.Красная площадь,19</t>
  </si>
  <si>
    <t>Айдарова Р.Р</t>
  </si>
  <si>
    <t>Аккамул.,прихожая, кислотная</t>
  </si>
  <si>
    <t>телеграф, переговорная</t>
  </si>
  <si>
    <t>выпрямительная</t>
  </si>
  <si>
    <t>Смирнова И.В.</t>
  </si>
  <si>
    <t>Давлекановский  РУС</t>
  </si>
  <si>
    <t>Победы 29</t>
  </si>
  <si>
    <t>Минина С.И.</t>
  </si>
  <si>
    <t>Манакова С.И.</t>
  </si>
  <si>
    <t>комната отдыха,</t>
  </si>
  <si>
    <t>Высоковольтная 20/2</t>
  </si>
  <si>
    <t>Выносные концентраторы</t>
  </si>
  <si>
    <t>город-8 ; село-22</t>
  </si>
  <si>
    <t>Ермекеевский РУС</t>
  </si>
  <si>
    <t>Ленина, 17</t>
  </si>
  <si>
    <t>Яппарова Л.Ф.</t>
  </si>
  <si>
    <t xml:space="preserve">3, этаж </t>
  </si>
  <si>
    <t>Киргиз-Миякинский РУС</t>
  </si>
  <si>
    <t>ул.Ленина 21</t>
  </si>
  <si>
    <t>Ульданова З.Г.</t>
  </si>
  <si>
    <t>произ.помещения</t>
  </si>
  <si>
    <t>сан. Узел  во дворе</t>
  </si>
  <si>
    <t>2</t>
  </si>
  <si>
    <t>Насретдинова Ф.М.</t>
  </si>
  <si>
    <t xml:space="preserve">зал селекторн заседаний, </t>
  </si>
  <si>
    <t>Октябрьский ГУС</t>
  </si>
  <si>
    <t>Ленина.59</t>
  </si>
  <si>
    <t>Зиннатуллина А.А.</t>
  </si>
  <si>
    <t>шахта, КСУ, вентиляционные, склад</t>
  </si>
  <si>
    <t>бомбоубежище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</si>
  <si>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</si>
  <si>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</si>
  <si>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</si>
  <si>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</si>
  <si>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Латыпова Д.Н.</t>
  </si>
  <si>
    <t>санузлы</t>
  </si>
  <si>
    <t>столовая</t>
  </si>
  <si>
    <t>Шаронова Н.Ю.</t>
  </si>
  <si>
    <t xml:space="preserve"> КРОСС</t>
  </si>
  <si>
    <t>ЭПУ, аккумуляторная, вентиляц.</t>
  </si>
  <si>
    <t xml:space="preserve">1 раз в неделю </t>
  </si>
  <si>
    <t>Хазиева С.Г.</t>
  </si>
  <si>
    <t>автозал</t>
  </si>
  <si>
    <t>цехком</t>
  </si>
  <si>
    <t>подсобные помещения, склад</t>
  </si>
  <si>
    <t>арендованные помещения</t>
  </si>
  <si>
    <t>Плеханова Н.Н.</t>
  </si>
  <si>
    <t>Попова С.А.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</si>
  <si>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</si>
  <si>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</si>
  <si>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</si>
  <si>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</si>
  <si>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</si>
  <si>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</si>
  <si>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</si>
  <si>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Гиниятова Т.Ю.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</si>
  <si>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</si>
  <si>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</si>
  <si>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</si>
  <si>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</si>
  <si>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</si>
  <si>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</si>
  <si>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</si>
  <si>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</si>
  <si>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</si>
  <si>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Островского, 1а</t>
  </si>
  <si>
    <t xml:space="preserve">комната водителей. </t>
  </si>
  <si>
    <t>ремонтные мастерские</t>
  </si>
  <si>
    <t>2-3</t>
  </si>
  <si>
    <t>тракторная база</t>
  </si>
  <si>
    <t xml:space="preserve">гараж </t>
  </si>
  <si>
    <t>тамбур</t>
  </si>
  <si>
    <t xml:space="preserve"> Раевский  РУС</t>
  </si>
  <si>
    <t>ул.Ленина,114</t>
  </si>
  <si>
    <t>Валитова И.Ф.</t>
  </si>
  <si>
    <t>Арендованные помещения</t>
  </si>
  <si>
    <t>свободные площади</t>
  </si>
  <si>
    <t>ул. Ленина,114</t>
  </si>
  <si>
    <t xml:space="preserve"> 1 этаж </t>
  </si>
  <si>
    <t>Актовый зал</t>
  </si>
  <si>
    <t>производственные помещения, бытовые помещения</t>
  </si>
  <si>
    <t xml:space="preserve"> Туймазинский МУЭС-центр</t>
  </si>
  <si>
    <t>Чехова, 1Б</t>
  </si>
  <si>
    <t>Рафикова Ф.Х.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</si>
  <si>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</si>
  <si>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</si>
  <si>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</si>
  <si>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</si>
  <si>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Нафикова  Г.М.</t>
  </si>
  <si>
    <t>убежище</t>
  </si>
  <si>
    <t>Каримова З.Ш.</t>
  </si>
  <si>
    <t>Салихова М.С.</t>
  </si>
  <si>
    <t>Щукина О.А.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</si>
  <si>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</si>
  <si>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</si>
  <si>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</si>
  <si>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</si>
  <si>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</si>
  <si>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Ахмадиева Ф.С.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</si>
  <si>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</si>
  <si>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</si>
  <si>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</si>
  <si>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</si>
  <si>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</si>
  <si>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</si>
  <si>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Дизельная</t>
  </si>
  <si>
    <t>2 раз в месяц</t>
  </si>
  <si>
    <t>Шаранский РУС</t>
  </si>
  <si>
    <t>Центральная 23</t>
  </si>
  <si>
    <t>Хисамутдинова Ф.М.</t>
  </si>
  <si>
    <t>Языковский РУС</t>
  </si>
  <si>
    <t>ул.Ленина,  83</t>
  </si>
  <si>
    <t>Бойкова З.Н.</t>
  </si>
  <si>
    <t xml:space="preserve">кладовка </t>
  </si>
  <si>
    <t>Айвазян О.С.</t>
  </si>
  <si>
    <t xml:space="preserve">2  этаж </t>
  </si>
  <si>
    <t xml:space="preserve">5 раз в неделю </t>
  </si>
  <si>
    <t>студия</t>
  </si>
  <si>
    <t>Архангельский РУС</t>
  </si>
  <si>
    <t>Гагарина 39</t>
  </si>
  <si>
    <t>Голубева С.Г.на  время д/о Ильясовой Г.Р.</t>
  </si>
  <si>
    <t>Бердникова Н.Н.</t>
  </si>
  <si>
    <t>зал заседания</t>
  </si>
  <si>
    <t>1 раз в недеелю</t>
  </si>
  <si>
    <t>Благовещенский РУС</t>
  </si>
  <si>
    <t>Советская 28</t>
  </si>
  <si>
    <t>Ситдикова В.Г.</t>
  </si>
  <si>
    <t>Гараж</t>
  </si>
  <si>
    <t>кобинет</t>
  </si>
  <si>
    <t>Седова 118/2</t>
  </si>
  <si>
    <t>Родичева Л.А.</t>
  </si>
  <si>
    <t>Иглинский РУС</t>
  </si>
  <si>
    <t>Свердлова,9</t>
  </si>
  <si>
    <t>Старухина Т.Д.</t>
  </si>
  <si>
    <t>Кармаскалинский РУС</t>
  </si>
  <si>
    <t>ул. Садовая 22</t>
  </si>
  <si>
    <t>клиентурный зал расчетного пункта</t>
  </si>
  <si>
    <t>монтерская</t>
  </si>
  <si>
    <t xml:space="preserve">Красногорский РУС </t>
  </si>
  <si>
    <t>ул.Советская ,53</t>
  </si>
  <si>
    <t>Кагирова Г.Н.</t>
  </si>
  <si>
    <t>ул.Графтио,41</t>
  </si>
  <si>
    <t>Акрамова З.З.</t>
  </si>
  <si>
    <t>Кушнаренковский РУС</t>
  </si>
  <si>
    <t>ул.Октябрьская 64</t>
  </si>
  <si>
    <t>Рубцова О.В.</t>
  </si>
  <si>
    <t>тамбур и коридор</t>
  </si>
  <si>
    <t>5 раз в нгеделю</t>
  </si>
  <si>
    <t>АТС</t>
  </si>
  <si>
    <t>Шайхутдинова Р.Р.</t>
  </si>
  <si>
    <t>сан узел</t>
  </si>
  <si>
    <t>бытовка</t>
  </si>
  <si>
    <t>площадка входа в здание</t>
  </si>
  <si>
    <t>Чишминский РУС</t>
  </si>
  <si>
    <t>ул Кирова 48 А</t>
  </si>
  <si>
    <t>Ишмакова З.Р.</t>
  </si>
  <si>
    <t>через день</t>
  </si>
  <si>
    <t>складские помешения</t>
  </si>
  <si>
    <t>Тангельбаева А.Ф.</t>
  </si>
  <si>
    <t>архив, студия</t>
  </si>
  <si>
    <t>Баймакский цех УКВ радиостанций</t>
  </si>
  <si>
    <t>аккумуляторная</t>
  </si>
  <si>
    <t>вентиляционный зал</t>
  </si>
  <si>
    <t>электрощитовая</t>
  </si>
  <si>
    <t>Кусимова Г.Г.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</si>
  <si>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</si>
  <si>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</si>
  <si>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</si>
  <si>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</si>
  <si>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</si>
  <si>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Белорецкий цех УКВ радиостанций</t>
  </si>
  <si>
    <t>1 этаж:</t>
  </si>
  <si>
    <t>вентиляционная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</si>
  <si>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</si>
  <si>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</si>
  <si>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</si>
  <si>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</si>
  <si>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</si>
  <si>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</si>
  <si>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Шатилова И.Н.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</si>
  <si>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</si>
  <si>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</si>
  <si>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</si>
  <si>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</si>
  <si>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</si>
  <si>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</si>
  <si>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туалет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</si>
  <si>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</si>
  <si>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</si>
  <si>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</si>
  <si>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</si>
  <si>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</si>
  <si>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</si>
  <si>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</si>
  <si>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Хабутдинова Р.К.</t>
  </si>
  <si>
    <t>5раз в неделю</t>
  </si>
  <si>
    <t>лестничная клетка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</si>
  <si>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</si>
  <si>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</si>
  <si>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</si>
  <si>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</si>
  <si>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</si>
  <si>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Бураевский цех УКВ радиостанций</t>
  </si>
  <si>
    <t>зал УКВ-ЧМ передатчиков</t>
  </si>
  <si>
    <t>35.8</t>
  </si>
  <si>
    <t>склад ЗИП</t>
  </si>
  <si>
    <t>зал РРС</t>
  </si>
  <si>
    <t>Месягутовский цех УКВ радиостанций</t>
  </si>
  <si>
    <t>Шавкунова С.Е.</t>
  </si>
  <si>
    <r>
      <t xml:space="preserve">щитовая                                                                </t>
    </r>
    <r>
      <rPr>
        <i/>
        <sz val="10"/>
        <color indexed="8"/>
        <rFont val="Arial"/>
        <family val="2"/>
        <charset val="204"/>
      </rPr>
      <t/>
    </r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</si>
  <si>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</si>
  <si>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</si>
  <si>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</si>
  <si>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</si>
  <si>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</si>
  <si>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Билайн                                   </t>
  </si>
  <si>
    <t xml:space="preserve">877.3                 </t>
  </si>
  <si>
    <t>Тамбур</t>
  </si>
  <si>
    <t>Лестничная клетка</t>
  </si>
  <si>
    <t>1-5</t>
  </si>
  <si>
    <t>Комната дежурного</t>
  </si>
  <si>
    <t xml:space="preserve">Комната приёма пищи </t>
  </si>
  <si>
    <t>Лаборатория</t>
  </si>
  <si>
    <t>Смирнова И.М.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</si>
  <si>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</si>
  <si>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</si>
  <si>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</si>
  <si>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</si>
  <si>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</si>
  <si>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Туалет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</si>
  <si>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</si>
  <si>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</si>
  <si>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</si>
  <si>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</si>
  <si>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</si>
  <si>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Степанова Н.И.</t>
  </si>
  <si>
    <t>Мастерская АПГ</t>
  </si>
  <si>
    <t xml:space="preserve"> Склад</t>
  </si>
  <si>
    <t>Красный уголок</t>
  </si>
  <si>
    <t>Кабинеты</t>
  </si>
  <si>
    <t>Цех №3</t>
  </si>
  <si>
    <t>953.8</t>
  </si>
  <si>
    <t>32.8</t>
  </si>
  <si>
    <t>лестн. Площадка</t>
  </si>
  <si>
    <t>18.8</t>
  </si>
  <si>
    <t>ком.отдыха</t>
  </si>
  <si>
    <t>21.3</t>
  </si>
  <si>
    <t>54</t>
  </si>
  <si>
    <t>49.1</t>
  </si>
  <si>
    <t>ком.приема пищи</t>
  </si>
  <si>
    <t>17.5</t>
  </si>
  <si>
    <t>11.9</t>
  </si>
  <si>
    <t>сан.узлы</t>
  </si>
  <si>
    <t>5.6</t>
  </si>
  <si>
    <t>вент.зал</t>
  </si>
  <si>
    <t>718.7</t>
  </si>
  <si>
    <t>Гаскарова Н.В.</t>
  </si>
  <si>
    <t>пожарная насосная</t>
  </si>
  <si>
    <t>17.1</t>
  </si>
  <si>
    <t>905</t>
  </si>
  <si>
    <t>18.4</t>
  </si>
  <si>
    <t>32.3</t>
  </si>
  <si>
    <t>каб.начальника цеха</t>
  </si>
  <si>
    <t>24.1</t>
  </si>
  <si>
    <t>15.5</t>
  </si>
  <si>
    <t>каб.инженера</t>
  </si>
  <si>
    <t>12.5</t>
  </si>
  <si>
    <t>помещение АТС</t>
  </si>
  <si>
    <t>11.8</t>
  </si>
  <si>
    <t>19.6</t>
  </si>
  <si>
    <t>753.8</t>
  </si>
  <si>
    <t>1858,8</t>
  </si>
  <si>
    <t>ВСЕГО</t>
  </si>
  <si>
    <t>6954,9</t>
  </si>
  <si>
    <t>Центр технической эксплуатации</t>
  </si>
  <si>
    <t>Мелеузовский МУЭС</t>
  </si>
  <si>
    <t>ВСЕГО по МУЭС</t>
  </si>
  <si>
    <t>Стерлитамакский МУЭС</t>
  </si>
  <si>
    <t>Ишимбайский РУС</t>
  </si>
  <si>
    <t>Красноусольский РУС</t>
  </si>
  <si>
    <t>Салаватский ГУС</t>
  </si>
  <si>
    <t>Октябрьская - 33</t>
  </si>
  <si>
    <t xml:space="preserve">Гагарина - 5 (АТС -35),                                   Октябрьская - 33 </t>
  </si>
  <si>
    <t>Стерлибашевский РУС</t>
  </si>
  <si>
    <t>Карла Маркса - 109</t>
  </si>
  <si>
    <t>Толбазинский РУС</t>
  </si>
  <si>
    <t xml:space="preserve">Первомайская - 12 </t>
  </si>
  <si>
    <t>Федоровский РУС</t>
  </si>
  <si>
    <t xml:space="preserve">Коммунистическая - 72 </t>
  </si>
  <si>
    <t>Туймазинский МУЭС</t>
  </si>
  <si>
    <t xml:space="preserve">Советская -74 </t>
  </si>
  <si>
    <t>Советская -74</t>
  </si>
  <si>
    <t>Коммунистическая -30</t>
  </si>
  <si>
    <t xml:space="preserve">Худайбердина - 105 </t>
  </si>
  <si>
    <t>Стерлитамакский МУЭС - центр</t>
  </si>
  <si>
    <t xml:space="preserve">Октябрьская - 33 </t>
  </si>
  <si>
    <t>РРТПЦ</t>
  </si>
  <si>
    <t>Габдрахманова А.З.</t>
  </si>
  <si>
    <t>Камалдинова Г.М.</t>
  </si>
  <si>
    <t>Салаватский цех УКВ радиостанций</t>
  </si>
  <si>
    <t>с. Языково</t>
  </si>
  <si>
    <t>Бирский МУЭС-центр</t>
  </si>
  <si>
    <t>Октябрьская пл.4</t>
  </si>
  <si>
    <t>Старцева О.А.</t>
  </si>
  <si>
    <t>клиентский зал</t>
  </si>
  <si>
    <t>Октябрьская пл.4 ГТС</t>
  </si>
  <si>
    <t>Гильмуллина Г.Н.</t>
  </si>
  <si>
    <t>кросс</t>
  </si>
  <si>
    <t>спорт.зал</t>
  </si>
  <si>
    <t>радио узел</t>
  </si>
  <si>
    <t>АТС 3 Интернациональная 119</t>
  </si>
  <si>
    <t>Абрамова Н.Н.</t>
  </si>
  <si>
    <t>Музей</t>
  </si>
  <si>
    <t>6,7</t>
  </si>
  <si>
    <t>Цыба Э.</t>
  </si>
  <si>
    <t>кабинеты(тех.помещение АТС)</t>
  </si>
  <si>
    <t>Бытовая комната</t>
  </si>
  <si>
    <t>АТС 4 8 марта 38 а</t>
  </si>
  <si>
    <t>Выдрина С.Ф.</t>
  </si>
  <si>
    <t xml:space="preserve">подсобное помещение </t>
  </si>
  <si>
    <t>СТС- Гараж</t>
  </si>
  <si>
    <t>Рспаева Л.А.</t>
  </si>
  <si>
    <t>3,5</t>
  </si>
  <si>
    <t>Аскинский РУС</t>
  </si>
  <si>
    <t>Хабибуллина Х.М.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</si>
  <si>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</si>
  <si>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</si>
  <si>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</si>
  <si>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</si>
  <si>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</si>
  <si>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</si>
  <si>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>Мусина Г.М.</t>
  </si>
  <si>
    <t>Эл. щитовая, компрессорная</t>
  </si>
  <si>
    <t>Селекторная (зал заседаний)</t>
  </si>
  <si>
    <t>Коридоры</t>
  </si>
  <si>
    <t>Приемная</t>
  </si>
  <si>
    <t>Санузелы</t>
  </si>
  <si>
    <t>Лестничные площадки</t>
  </si>
  <si>
    <t>Дюсьметова М.З.</t>
  </si>
  <si>
    <t>Ленина 90</t>
  </si>
  <si>
    <t>Аитова Д.Ф.</t>
  </si>
  <si>
    <t>ул.Красноармейская 37</t>
  </si>
  <si>
    <t>Рамазанова Р.С.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</si>
  <si>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</si>
  <si>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</si>
  <si>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</si>
  <si>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</si>
  <si>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</si>
  <si>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Галяутдинова А.П.</t>
  </si>
  <si>
    <t>аренда РУФПС</t>
  </si>
  <si>
    <t>своя уборщица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</si>
  <si>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</si>
  <si>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</si>
  <si>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</si>
  <si>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</si>
  <si>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</si>
  <si>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Нигматьянова А.С.(за декретника Николину которая в свою очередь была временно за основного работника Закирову Г.Р которая в Д\О)</t>
  </si>
  <si>
    <t>1 этаж старого здания</t>
  </si>
  <si>
    <t>абон.отдел, клиентский зал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</si>
  <si>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</si>
  <si>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</si>
  <si>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</si>
  <si>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</si>
  <si>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</si>
  <si>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</si>
  <si>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</si>
  <si>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1 этаж пристроя</t>
  </si>
  <si>
    <t>запасной выход</t>
  </si>
  <si>
    <t>1 зтаж пристроя</t>
  </si>
  <si>
    <t>Давлетшина Р.Б.</t>
  </si>
  <si>
    <t>3 этаж пристроя</t>
  </si>
  <si>
    <t>АТС , кабинеты</t>
  </si>
  <si>
    <t>3 этаж старого здания</t>
  </si>
  <si>
    <t>лестницы  с 1 по 3 этаж</t>
  </si>
  <si>
    <t>ПКП на Горшкова</t>
  </si>
  <si>
    <t>ул.Горшкова,25</t>
  </si>
  <si>
    <t>КараидельскийРУС</t>
  </si>
  <si>
    <t>Ленина 34</t>
  </si>
  <si>
    <t>Филимонова Е.А.</t>
  </si>
  <si>
    <t>Лестница</t>
  </si>
  <si>
    <t>туалет на улице</t>
  </si>
  <si>
    <t>Мишкинский РУС</t>
  </si>
  <si>
    <t>Ленина,116</t>
  </si>
  <si>
    <t>Яндуганова Е.В.</t>
  </si>
  <si>
    <t>клиентурский зал</t>
  </si>
  <si>
    <t xml:space="preserve">лестница </t>
  </si>
  <si>
    <t>Нефтекамский  РУС</t>
  </si>
  <si>
    <t>Социалистическая 85</t>
  </si>
  <si>
    <t>Ижбулатова А.А.</t>
  </si>
  <si>
    <t>венткамера</t>
  </si>
  <si>
    <t>4 этаж,</t>
  </si>
  <si>
    <t>Сарсенбаева Р.Р.</t>
  </si>
  <si>
    <t>Чунтонова С.В.</t>
  </si>
  <si>
    <t>ул.Ленина 13</t>
  </si>
  <si>
    <t>Исмакова Р.Ш.</t>
  </si>
  <si>
    <t>подвальное помещение</t>
  </si>
  <si>
    <t>Гильметдинова С.А. на время д/о Акмаловой Н.А.</t>
  </si>
  <si>
    <t>Антипина Г.Р.</t>
  </si>
  <si>
    <t>Строителей 29</t>
  </si>
  <si>
    <t>Набиева Р.Ф.</t>
  </si>
  <si>
    <t>пос. АМЗЯ</t>
  </si>
  <si>
    <t>ул. Свердлова 12в</t>
  </si>
  <si>
    <t>Беляева И.А.</t>
  </si>
  <si>
    <t>г.Агидель</t>
  </si>
  <si>
    <t>Академика Курчатова 15</t>
  </si>
  <si>
    <t>Хабиева Ф.Ф.</t>
  </si>
  <si>
    <t>7,9</t>
  </si>
  <si>
    <t xml:space="preserve"> ул.К.Маркса 7</t>
  </si>
  <si>
    <t>Мухаметьянова З.А.</t>
  </si>
  <si>
    <t xml:space="preserve"> Технические помещение</t>
  </si>
  <si>
    <t>1 раз в год</t>
  </si>
  <si>
    <t>Занина Т.И.</t>
  </si>
  <si>
    <t>4 раза в месяц</t>
  </si>
  <si>
    <t>Старобалтачевский РУС</t>
  </si>
  <si>
    <t>Советская 31</t>
  </si>
  <si>
    <t>Сафиева Н.В.</t>
  </si>
  <si>
    <t>4 раза  в год</t>
  </si>
  <si>
    <t>Янаульский РУС</t>
  </si>
  <si>
    <t xml:space="preserve"> Шакирова А.М.</t>
  </si>
  <si>
    <t>тех. помещение</t>
  </si>
  <si>
    <t>ЛАЗ</t>
  </si>
  <si>
    <t>Аккумуляторная</t>
  </si>
  <si>
    <t xml:space="preserve"> сан. узел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</si>
  <si>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</si>
  <si>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</si>
  <si>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</si>
  <si>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</si>
  <si>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>Монтерская</t>
  </si>
  <si>
    <t>подвал.шахта,КСУ</t>
  </si>
  <si>
    <t>кабинеты 1 этажа</t>
  </si>
  <si>
    <t>Клиентский зал</t>
  </si>
  <si>
    <t>2 Этаж</t>
  </si>
  <si>
    <t xml:space="preserve">Автозал АТС-2    </t>
  </si>
  <si>
    <t>Бирский МУЭС</t>
  </si>
  <si>
    <t>КЭТ</t>
  </si>
  <si>
    <t>15а)</t>
  </si>
  <si>
    <t xml:space="preserve">  ул.Ленина 13  2 этаж</t>
  </si>
  <si>
    <t xml:space="preserve"> ул.Ленина 13 3 этаж</t>
  </si>
  <si>
    <t xml:space="preserve">ул.К.Маркса 7  3 этаж </t>
  </si>
  <si>
    <t>Худайбердина 5   3 этаж</t>
  </si>
  <si>
    <t xml:space="preserve"> Худайбердина 5   1 Этаж</t>
  </si>
  <si>
    <t>Сайфуллина Г.Г.</t>
  </si>
  <si>
    <t>по совмещению Короткова Т.В.(почтальон )</t>
  </si>
  <si>
    <t>Иштубаева Л.И.</t>
  </si>
  <si>
    <t>Приложение № 2</t>
  </si>
  <si>
    <t>Мероприятия по уборке помещений</t>
  </si>
  <si>
    <t>№</t>
  </si>
  <si>
    <t>Виды работ</t>
  </si>
  <si>
    <r>
      <t>Протирка пыли с полок, шкафов, тумбочек, подоконников и прочих поверхностей высотой не более 2 м. Чистка зеркал и стеклянных поверхностей (кроме окон).</t>
    </r>
    <r>
      <rPr>
        <sz val="12"/>
        <color indexed="8"/>
        <rFont val="Arial"/>
        <family val="2"/>
        <charset val="204"/>
      </rPr>
      <t xml:space="preserve"> </t>
    </r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</si>
  <si>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</si>
  <si>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</si>
  <si>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</si>
  <si>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</si>
  <si>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</si>
  <si>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</si>
  <si>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Приложение № 4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</si>
  <si>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</si>
  <si>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</si>
  <si>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</si>
  <si>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</si>
  <si>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Приложение № 3</t>
  </si>
  <si>
    <t>Общая площадь территорий, кв.м</t>
  </si>
  <si>
    <t>Виды услуг (таб. 4)</t>
  </si>
  <si>
    <t>Октябрьская пл. 4</t>
  </si>
  <si>
    <t>Абрамова  Н.Н.</t>
  </si>
  <si>
    <t>8 Марта 32а</t>
  </si>
  <si>
    <t>Бурновская 10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</si>
  <si>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</si>
  <si>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</si>
  <si>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</si>
  <si>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</si>
  <si>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</si>
  <si>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Нигматьянова А.С.</t>
  </si>
  <si>
    <t>К.Маркса 49</t>
  </si>
  <si>
    <t>Галяутдинова А.П</t>
  </si>
  <si>
    <t>Ленина 54 к.Холм</t>
  </si>
  <si>
    <t>Короткова Т.В</t>
  </si>
  <si>
    <t>Караидельский РУС</t>
  </si>
  <si>
    <t>Филимонова Е.А,</t>
  </si>
  <si>
    <t>Нефтекамский РУС</t>
  </si>
  <si>
    <t>Ижбулатова А.А</t>
  </si>
  <si>
    <t>Ленина 13</t>
  </si>
  <si>
    <t>Гильметдинова С.А.</t>
  </si>
  <si>
    <t>Свердлова 12в</t>
  </si>
  <si>
    <t xml:space="preserve">Янаульский РУС </t>
  </si>
  <si>
    <t>г.Янаул ул Худайбердина ,5</t>
  </si>
  <si>
    <t xml:space="preserve"> Нуртдинова А.Н..</t>
  </si>
  <si>
    <t>Мелеузовский МУЭС - центр</t>
  </si>
  <si>
    <t>Идрисова Г.Ф.</t>
  </si>
  <si>
    <t>ул. Воровского 2</t>
  </si>
  <si>
    <t>Куланбаева А.У.</t>
  </si>
  <si>
    <t>Ампилогова С.С.</t>
  </si>
  <si>
    <t>ул. Ленина 5</t>
  </si>
  <si>
    <t>ул. Ленина 6 а</t>
  </si>
  <si>
    <t>Варова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</si>
  <si>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</si>
  <si>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</si>
  <si>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</si>
  <si>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</si>
  <si>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</si>
  <si>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Суюндукова Л.М</t>
  </si>
  <si>
    <t xml:space="preserve"> -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</si>
  <si>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</si>
  <si>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</si>
  <si>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</si>
  <si>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</si>
  <si>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</si>
  <si>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Севостьянова Т.В.</t>
  </si>
  <si>
    <t>Геологическая -11</t>
  </si>
  <si>
    <t>Докучаево - 12</t>
  </si>
  <si>
    <t>Григорьева В.М.</t>
  </si>
  <si>
    <t>Островского - 53</t>
  </si>
  <si>
    <t>Гагарина - 5</t>
  </si>
  <si>
    <t>Степанова Н.В.</t>
  </si>
  <si>
    <t>Коммунистическая - 72</t>
  </si>
  <si>
    <t>Мостовая, 4</t>
  </si>
  <si>
    <t>1-2</t>
  </si>
  <si>
    <t>п.Приютово, Бульвар Мира</t>
  </si>
  <si>
    <t>Красная площадь,19</t>
  </si>
  <si>
    <t>Айдарова Р.Р.</t>
  </si>
  <si>
    <t>Ленина, 21</t>
  </si>
  <si>
    <t>Ульданова З.Г</t>
  </si>
  <si>
    <t>Ленина,59</t>
  </si>
  <si>
    <t>Попова С.А. /Плеханова Н.Н.</t>
  </si>
  <si>
    <t>Герцена,20</t>
  </si>
  <si>
    <t>Девонская. 87</t>
  </si>
  <si>
    <t>Смирнова М</t>
  </si>
  <si>
    <t>Раевский РУС</t>
  </si>
  <si>
    <t>Ленина, 114</t>
  </si>
  <si>
    <t>Каратеева К,С.</t>
  </si>
  <si>
    <t>Чехова, 1б</t>
  </si>
  <si>
    <t>Гафурова, 60</t>
  </si>
  <si>
    <t>Ленина, 57</t>
  </si>
  <si>
    <t>Хисамутдинова Ф.М</t>
  </si>
  <si>
    <t>Ленина, 83</t>
  </si>
  <si>
    <t>Нурсаяпова Р.А.</t>
  </si>
  <si>
    <t>Романов А.И.</t>
  </si>
  <si>
    <t>Разетдинов И.Н.</t>
  </si>
  <si>
    <t xml:space="preserve"> ул.Октябрьская, 64</t>
  </si>
  <si>
    <t>Гареев И.С.</t>
  </si>
  <si>
    <t>Ионов П.М.</t>
  </si>
  <si>
    <t>Приложение № 5</t>
  </si>
  <si>
    <t xml:space="preserve">Список работников, осуществляющих уборку помещений и прилегающих территорий  ОАО "Башинформсвязь"  </t>
  </si>
  <si>
    <t>№   п/п</t>
  </si>
  <si>
    <t>Ф.И.О.</t>
  </si>
  <si>
    <t>Должность</t>
  </si>
  <si>
    <t xml:space="preserve">Уборщик производственных и служебных помещений  </t>
  </si>
  <si>
    <t>Цыба Э.Н.</t>
  </si>
  <si>
    <t>Нигматьянова А.С. (за Николину Г.Ф. которая за Зарипову (Д/О)</t>
  </si>
  <si>
    <t>Галяутдинова А.П,</t>
  </si>
  <si>
    <t>Мухаметьянова З.А</t>
  </si>
  <si>
    <t>Гилметдинова С.А. за Акмалова Н.А.(декрет)</t>
  </si>
  <si>
    <t>Шакирова А.М.</t>
  </si>
  <si>
    <t>Идрисова Г.Ф. ( на время д/о  Аминевой И.Т.)</t>
  </si>
  <si>
    <t>Мухамедьярова М.Г.</t>
  </si>
  <si>
    <t>Габова М.В</t>
  </si>
  <si>
    <t>Уборщик производственных и служебных помещений</t>
  </si>
  <si>
    <t>Захарова Т.С.внутр.совмест</t>
  </si>
  <si>
    <t>Уборщик производственных и служебных помещений </t>
  </si>
  <si>
    <t>Буздякский РУС</t>
  </si>
  <si>
    <t>Давлекановский РУС</t>
  </si>
  <si>
    <t>Туймазинский МУЭС - центр</t>
  </si>
  <si>
    <t>Нафикова Г.М.</t>
  </si>
  <si>
    <t>Голубева С.Г.</t>
  </si>
  <si>
    <t xml:space="preserve">Дворник  </t>
  </si>
  <si>
    <t>Семенова В.В.</t>
  </si>
  <si>
    <t>Красногорский РУС</t>
  </si>
  <si>
    <t>Шайхутдинова Р.Р</t>
  </si>
  <si>
    <t>Габдрахимова А.З.</t>
  </si>
  <si>
    <t>Камалтдинова Г.М.</t>
  </si>
  <si>
    <t>Приложение № 6</t>
  </si>
  <si>
    <t>Расчет затрат по оплате труда работников, осуществляющих уборку помещений и прилегающих территорий   ОАО "Башинформсвязь"</t>
  </si>
  <si>
    <t>Кол. ШЕ</t>
  </si>
  <si>
    <t>Оклад</t>
  </si>
  <si>
    <t>ФОТ                        (с ур.коэф.)</t>
  </si>
  <si>
    <t>Верхнетатышлинский РУС</t>
  </si>
  <si>
    <t>Верхнеяркеевский РУС</t>
  </si>
  <si>
    <t>Янаульский  РУС</t>
  </si>
  <si>
    <t>Сайфулина Г.Г.</t>
  </si>
  <si>
    <t>Мелеузовский МУЭС-центр</t>
  </si>
  <si>
    <t>Итого по МУЭС</t>
  </si>
  <si>
    <t>Боровикова Л.Ф.</t>
  </si>
  <si>
    <t>Захарова Т.С. внутр.совмест.</t>
  </si>
  <si>
    <t>Дворник</t>
  </si>
  <si>
    <t>Всего по МУЭС:</t>
  </si>
  <si>
    <t>отчисл 30.2% 1 мес</t>
  </si>
  <si>
    <t>ФОТ 4 мес</t>
  </si>
  <si>
    <t>отчисл 30,2 % 4 мес</t>
  </si>
  <si>
    <t>Шафикова Ф.С.</t>
  </si>
  <si>
    <t>Файзуллина э/монт,  Склокина э/мех Совмещение професси</t>
  </si>
  <si>
    <t>Захарова Т.С.                   Внутр совм.</t>
  </si>
  <si>
    <t>Хисматуллина Л.М.</t>
  </si>
  <si>
    <t>Боровикова Л.Ф</t>
  </si>
  <si>
    <t>Фейлер С.В.</t>
  </si>
  <si>
    <t>помещение отдела информационных технологий</t>
  </si>
  <si>
    <t>Сан.узел</t>
  </si>
  <si>
    <t xml:space="preserve"> Интернациональная 119 а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</si>
  <si>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</si>
  <si>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</si>
  <si>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</si>
  <si>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</si>
  <si>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</si>
  <si>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</si>
  <si>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347</t>
  </si>
  <si>
    <t>300</t>
  </si>
  <si>
    <t>Всего по  МУЭС</t>
  </si>
  <si>
    <t>ВСЕГО по ЦТЭ</t>
  </si>
  <si>
    <t>Ф.И.О</t>
  </si>
  <si>
    <t>График оказания услуг по уборке территорий                                                                                  ОАО "Башинформсвязь"</t>
  </si>
  <si>
    <t>График оказания услуг, по уборке производственных и служебных помещений   ОАО "Башинформсвязь"</t>
  </si>
  <si>
    <t>Месягутовский МУЭС-центр</t>
  </si>
  <si>
    <t>Киргизмиякинский РУС</t>
  </si>
  <si>
    <t>Затраты по оплате труда      ( с учетом премии 30%)</t>
  </si>
  <si>
    <t>Старобалтачевский  РУС</t>
  </si>
  <si>
    <t>Верхеяркеевский РУС</t>
  </si>
  <si>
    <t xml:space="preserve">с. Николо-Березовка </t>
  </si>
  <si>
    <t>Короткова  Т.В. (совм)</t>
  </si>
  <si>
    <t>Файзуллина, Склокина (совм)</t>
  </si>
  <si>
    <t>Лвтыпова Г.А.(временно)</t>
  </si>
  <si>
    <t>Голубева С.Г.(на вр.дек.от)</t>
  </si>
  <si>
    <t>Короткова Т.В (совм)</t>
  </si>
  <si>
    <t>Шафикова В.С.</t>
  </si>
  <si>
    <t>Латыпова Т.А. (врем)</t>
  </si>
  <si>
    <t>Латыпова Г.А.(времен)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</si>
</sst>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_р_._-;\-* #,##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_р_._-;\-* #,##0_р_._-;_-* &quot;-&quot;?_р_._-;_-@_-"/>
  </numFmts>
  <fonts count="26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84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left" vertical="top" wrapText="1"/>
    </xf>
    <xf numFmtId="2" fontId="3" fillId="2" borderId="8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" fontId="1" fillId="4" borderId="0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0" fontId="10" fillId="2" borderId="0" xfId="0" applyFont="1" applyFill="1"/>
    <xf numFmtId="0" fontId="3" fillId="2" borderId="10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7" fillId="6" borderId="4" xfId="0" applyFont="1" applyFill="1" applyBorder="1"/>
    <xf numFmtId="49" fontId="1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4" borderId="14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1" fillId="4" borderId="12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49" fontId="1" fillId="4" borderId="9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left" vertical="top" wrapText="1"/>
    </xf>
    <xf numFmtId="2" fontId="3" fillId="4" borderId="9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" fontId="1" fillId="2" borderId="12" xfId="0" applyNumberFormat="1" applyFont="1" applyFill="1" applyBorder="1" applyAlignment="1">
      <alignment horizontal="center"/>
    </xf>
    <xf numFmtId="2" fontId="7" fillId="7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9" xfId="0" applyFont="1" applyFill="1" applyBorder="1"/>
    <xf numFmtId="0" fontId="1" fillId="2" borderId="12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49" fontId="1" fillId="4" borderId="9" xfId="0" applyNumberFormat="1" applyFont="1" applyFill="1" applyBorder="1" applyAlignment="1">
      <alignment vertical="center" wrapText="1"/>
    </xf>
    <xf numFmtId="49" fontId="1" fillId="4" borderId="0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49" fontId="3" fillId="4" borderId="14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9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/>
    <xf numFmtId="0" fontId="1" fillId="2" borderId="0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2" fontId="3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1" fillId="4" borderId="9" xfId="0" applyNumberFormat="1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vertical="top" wrapText="1"/>
    </xf>
    <xf numFmtId="0" fontId="1" fillId="2" borderId="8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4" fillId="0" borderId="8" xfId="0" applyFont="1" applyBorder="1" applyAlignment="1">
      <alignment wrapText="1"/>
    </xf>
    <xf numFmtId="49" fontId="14" fillId="0" borderId="9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4" fillId="0" borderId="9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" fillId="4" borderId="0" xfId="0" applyFont="1" applyFill="1" applyAlignment="1"/>
    <xf numFmtId="0" fontId="3" fillId="4" borderId="0" xfId="0" applyFont="1" applyFill="1" applyAlignment="1"/>
    <xf numFmtId="0" fontId="1" fillId="4" borderId="1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vertical="top" wrapText="1"/>
    </xf>
    <xf numFmtId="0" fontId="12" fillId="4" borderId="2" xfId="0" applyFont="1" applyFill="1" applyBorder="1" applyAlignment="1">
      <alignment vertical="top" wrapText="1"/>
    </xf>
    <xf numFmtId="0" fontId="13" fillId="4" borderId="12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4" fillId="4" borderId="2" xfId="0" applyFont="1" applyFill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1" fillId="4" borderId="9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1" fillId="4" borderId="12" xfId="0" applyFont="1" applyFill="1" applyBorder="1" applyAlignment="1"/>
    <xf numFmtId="0" fontId="1" fillId="4" borderId="8" xfId="0" applyFont="1" applyFill="1" applyBorder="1" applyAlignment="1"/>
    <xf numFmtId="0" fontId="1" fillId="4" borderId="11" xfId="0" applyFont="1" applyFill="1" applyBorder="1" applyAlignment="1"/>
    <xf numFmtId="0" fontId="3" fillId="4" borderId="12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1" fillId="2" borderId="14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64" fontId="14" fillId="0" borderId="0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left" wrapText="1"/>
    </xf>
    <xf numFmtId="0" fontId="14" fillId="4" borderId="12" xfId="0" applyFont="1" applyFill="1" applyBorder="1" applyAlignment="1">
      <alignment horizontal="left" wrapText="1"/>
    </xf>
    <xf numFmtId="0" fontId="14" fillId="0" borderId="1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wrapText="1"/>
    </xf>
    <xf numFmtId="0" fontId="14" fillId="0" borderId="1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vertical="top" wrapText="1"/>
    </xf>
    <xf numFmtId="0" fontId="10" fillId="0" borderId="20" xfId="0" applyFont="1" applyBorder="1" applyAlignment="1">
      <alignment horizontal="center" vertical="top" wrapText="1"/>
    </xf>
    <xf numFmtId="0" fontId="1" fillId="0" borderId="0" xfId="0" applyNumberFormat="1" applyFont="1" applyAlignment="1">
      <alignment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3" fillId="4" borderId="0" xfId="0" applyFont="1" applyFill="1"/>
    <xf numFmtId="0" fontId="1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wrapText="1"/>
    </xf>
    <xf numFmtId="0" fontId="1" fillId="4" borderId="4" xfId="0" applyFont="1" applyFill="1" applyBorder="1"/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wrapText="1"/>
    </xf>
    <xf numFmtId="165" fontId="3" fillId="4" borderId="4" xfId="1" applyNumberFormat="1" applyFont="1" applyFill="1" applyBorder="1" applyAlignment="1">
      <alignment vertical="center" wrapText="1"/>
    </xf>
    <xf numFmtId="0" fontId="3" fillId="4" borderId="4" xfId="0" applyFont="1" applyFill="1" applyBorder="1" applyAlignment="1"/>
    <xf numFmtId="0" fontId="1" fillId="4" borderId="4" xfId="0" applyFont="1" applyFill="1" applyBorder="1" applyAlignment="1"/>
    <xf numFmtId="165" fontId="1" fillId="4" borderId="0" xfId="1" applyNumberFormat="1" applyFont="1" applyFill="1" applyAlignment="1"/>
    <xf numFmtId="165" fontId="1" fillId="4" borderId="4" xfId="1" applyNumberFormat="1" applyFont="1" applyFill="1" applyBorder="1" applyAlignment="1">
      <alignment wrapText="1"/>
    </xf>
    <xf numFmtId="165" fontId="1" fillId="4" borderId="4" xfId="1" applyNumberFormat="1" applyFont="1" applyFill="1" applyBorder="1" applyAlignment="1"/>
    <xf numFmtId="165" fontId="3" fillId="4" borderId="4" xfId="1" applyNumberFormat="1" applyFont="1" applyFill="1" applyBorder="1" applyAlignment="1"/>
    <xf numFmtId="165" fontId="3" fillId="4" borderId="4" xfId="1" applyNumberFormat="1" applyFont="1" applyFill="1" applyBorder="1" applyAlignment="1">
      <alignment wrapText="1"/>
    </xf>
    <xf numFmtId="9" fontId="1" fillId="4" borderId="4" xfId="0" applyNumberFormat="1" applyFont="1" applyFill="1" applyBorder="1" applyAlignment="1">
      <alignment wrapText="1"/>
    </xf>
    <xf numFmtId="164" fontId="1" fillId="4" borderId="4" xfId="0" applyNumberFormat="1" applyFont="1" applyFill="1" applyBorder="1" applyAlignment="1">
      <alignment wrapText="1"/>
    </xf>
    <xf numFmtId="164" fontId="3" fillId="4" borderId="4" xfId="0" applyNumberFormat="1" applyFont="1" applyFill="1" applyBorder="1" applyAlignment="1">
      <alignment wrapText="1"/>
    </xf>
    <xf numFmtId="1" fontId="3" fillId="4" borderId="4" xfId="0" applyNumberFormat="1" applyFont="1" applyFill="1" applyBorder="1" applyAlignment="1">
      <alignment horizontal="center" wrapText="1"/>
    </xf>
    <xf numFmtId="165" fontId="3" fillId="4" borderId="4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166" fontId="3" fillId="4" borderId="4" xfId="0" applyNumberFormat="1" applyFont="1" applyFill="1" applyBorder="1" applyAlignment="1">
      <alignment horizontal="right" wrapText="1"/>
    </xf>
    <xf numFmtId="0" fontId="1" fillId="4" borderId="0" xfId="0" applyFont="1" applyFill="1" applyAlignment="1">
      <alignment horizontal="right"/>
    </xf>
    <xf numFmtId="0" fontId="1" fillId="4" borderId="4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 wrapText="1"/>
    </xf>
    <xf numFmtId="164" fontId="1" fillId="4" borderId="4" xfId="0" applyNumberFormat="1" applyFont="1" applyFill="1" applyBorder="1" applyAlignment="1">
      <alignment horizontal="right" wrapText="1"/>
    </xf>
    <xf numFmtId="164" fontId="3" fillId="4" borderId="4" xfId="0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65" fontId="3" fillId="4" borderId="4" xfId="1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167" fontId="1" fillId="4" borderId="0" xfId="0" applyNumberFormat="1" applyFont="1" applyFill="1"/>
    <xf numFmtId="166" fontId="3" fillId="4" borderId="4" xfId="1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wrapText="1"/>
    </xf>
    <xf numFmtId="165" fontId="3" fillId="4" borderId="4" xfId="0" applyNumberFormat="1" applyFont="1" applyFill="1" applyBorder="1" applyAlignment="1">
      <alignment horizontal="center" vertical="top" wrapText="1"/>
    </xf>
    <xf numFmtId="165" fontId="3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/>
    </xf>
    <xf numFmtId="165" fontId="3" fillId="4" borderId="4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0" xfId="0" applyFont="1"/>
    <xf numFmtId="165" fontId="1" fillId="0" borderId="1" xfId="0" applyNumberFormat="1" applyFont="1" applyFill="1" applyBorder="1" applyAlignment="1">
      <alignment horizontal="center"/>
    </xf>
    <xf numFmtId="166" fontId="3" fillId="4" borderId="4" xfId="1" applyNumberFormat="1" applyFont="1" applyFill="1" applyBorder="1" applyAlignment="1">
      <alignment horizontal="center" wrapText="1"/>
    </xf>
    <xf numFmtId="0" fontId="7" fillId="6" borderId="4" xfId="0" applyFont="1" applyFill="1" applyBorder="1" applyAlignment="1">
      <alignment wrapText="1"/>
    </xf>
    <xf numFmtId="167" fontId="7" fillId="6" borderId="4" xfId="0" applyNumberFormat="1" applyFont="1" applyFill="1" applyBorder="1" applyAlignment="1">
      <alignment horizontal="center"/>
    </xf>
    <xf numFmtId="168" fontId="7" fillId="6" borderId="4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30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5" fontId="3" fillId="0" borderId="4" xfId="1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7" fillId="7" borderId="4" xfId="0" applyFont="1" applyFill="1" applyBorder="1" applyAlignment="1">
      <alignment horizontal="left"/>
    </xf>
    <xf numFmtId="0" fontId="7" fillId="7" borderId="4" xfId="0" applyFont="1" applyFill="1" applyBorder="1" applyAlignment="1"/>
    <xf numFmtId="2" fontId="7" fillId="7" borderId="12" xfId="0" applyNumberFormat="1" applyFont="1" applyFill="1" applyBorder="1" applyAlignment="1">
      <alignment horizontal="center"/>
    </xf>
    <xf numFmtId="0" fontId="7" fillId="7" borderId="4" xfId="0" applyFont="1" applyFill="1" applyBorder="1"/>
    <xf numFmtId="0" fontId="7" fillId="7" borderId="4" xfId="0" applyFont="1" applyFill="1" applyBorder="1" applyAlignment="1">
      <alignment horizontal="center"/>
    </xf>
    <xf numFmtId="0" fontId="7" fillId="7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top" wrapText="1"/>
    </xf>
    <xf numFmtId="0" fontId="10" fillId="4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165" fontId="1" fillId="4" borderId="4" xfId="1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wrapText="1"/>
    </xf>
    <xf numFmtId="0" fontId="3" fillId="7" borderId="8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vertical="top" wrapText="1"/>
    </xf>
    <xf numFmtId="164" fontId="3" fillId="7" borderId="7" xfId="0" applyNumberFormat="1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vertical="center"/>
    </xf>
    <xf numFmtId="2" fontId="7" fillId="7" borderId="12" xfId="0" applyNumberFormat="1" applyFont="1" applyFill="1" applyBorder="1" applyAlignment="1">
      <alignment horizontal="center" vertical="center"/>
    </xf>
    <xf numFmtId="2" fontId="7" fillId="7" borderId="4" xfId="0" applyNumberFormat="1" applyFont="1" applyFill="1" applyBorder="1" applyAlignment="1">
      <alignment horizontal="center"/>
    </xf>
    <xf numFmtId="0" fontId="3" fillId="2" borderId="0" xfId="0" applyFont="1" applyFill="1"/>
    <xf numFmtId="0" fontId="7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top" wrapText="1"/>
    </xf>
    <xf numFmtId="2" fontId="3" fillId="7" borderId="9" xfId="0" applyNumberFormat="1" applyFont="1" applyFill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left"/>
    </xf>
    <xf numFmtId="0" fontId="10" fillId="7" borderId="14" xfId="0" applyFont="1" applyFill="1" applyBorder="1" applyAlignment="1"/>
    <xf numFmtId="2" fontId="7" fillId="7" borderId="14" xfId="0" applyNumberFormat="1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wrapText="1"/>
    </xf>
    <xf numFmtId="2" fontId="20" fillId="7" borderId="14" xfId="0" applyNumberFormat="1" applyFont="1" applyFill="1" applyBorder="1" applyAlignment="1">
      <alignment horizontal="center" wrapText="1"/>
    </xf>
    <xf numFmtId="0" fontId="20" fillId="7" borderId="14" xfId="0" applyFont="1" applyFill="1" applyBorder="1" applyAlignment="1">
      <alignment horizontal="center" wrapText="1"/>
    </xf>
    <xf numFmtId="0" fontId="20" fillId="7" borderId="13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wrapText="1"/>
    </xf>
    <xf numFmtId="0" fontId="7" fillId="7" borderId="9" xfId="0" applyFont="1" applyFill="1" applyBorder="1" applyAlignment="1">
      <alignment horizontal="left"/>
    </xf>
    <xf numFmtId="0" fontId="7" fillId="7" borderId="9" xfId="0" applyFont="1" applyFill="1" applyBorder="1" applyAlignment="1"/>
    <xf numFmtId="16" fontId="7" fillId="7" borderId="9" xfId="0" applyNumberFormat="1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1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3" fillId="4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14" fillId="4" borderId="0" xfId="0" applyFont="1" applyFill="1"/>
    <xf numFmtId="0" fontId="3" fillId="4" borderId="0" xfId="0" applyFont="1" applyFill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/>
    <xf numFmtId="0" fontId="13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justify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/>
    </xf>
    <xf numFmtId="49" fontId="7" fillId="4" borderId="4" xfId="0" applyNumberFormat="1" applyFont="1" applyFill="1" applyBorder="1" applyAlignment="1">
      <alignment horizontal="center" vertical="center" wrapText="1"/>
    </xf>
    <xf numFmtId="0" fontId="21" fillId="4" borderId="0" xfId="0" applyFont="1" applyFill="1"/>
    <xf numFmtId="0" fontId="13" fillId="4" borderId="4" xfId="0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/>
    </xf>
    <xf numFmtId="164" fontId="7" fillId="4" borderId="4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7" fillId="6" borderId="4" xfId="0" applyFont="1" applyFill="1" applyBorder="1" applyAlignment="1">
      <alignment horizontal="left"/>
    </xf>
    <xf numFmtId="164" fontId="7" fillId="6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center"/>
    </xf>
    <xf numFmtId="2" fontId="3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horizontal="center" vertical="top" wrapText="1"/>
    </xf>
    <xf numFmtId="2" fontId="3" fillId="7" borderId="1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/>
    </xf>
    <xf numFmtId="49" fontId="7" fillId="7" borderId="6" xfId="0" applyNumberFormat="1" applyFont="1" applyFill="1" applyBorder="1" applyAlignment="1">
      <alignment horizontal="center"/>
    </xf>
    <xf numFmtId="49" fontId="7" fillId="7" borderId="4" xfId="0" applyNumberFormat="1" applyFont="1" applyFill="1" applyBorder="1"/>
    <xf numFmtId="0" fontId="7" fillId="7" borderId="6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left"/>
    </xf>
    <xf numFmtId="0" fontId="22" fillId="4" borderId="4" xfId="0" applyFont="1" applyFill="1" applyBorder="1" applyAlignment="1"/>
    <xf numFmtId="49" fontId="22" fillId="2" borderId="4" xfId="0" applyNumberFormat="1" applyFont="1" applyFill="1" applyBorder="1"/>
    <xf numFmtId="164" fontId="15" fillId="7" borderId="14" xfId="0" applyNumberFormat="1" applyFont="1" applyFill="1" applyBorder="1" applyAlignment="1">
      <alignment horizontal="center" wrapText="1"/>
    </xf>
    <xf numFmtId="2" fontId="3" fillId="7" borderId="14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9" fontId="1" fillId="4" borderId="12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4" borderId="2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16" fontId="1" fillId="4" borderId="9" xfId="0" applyNumberFormat="1" applyFont="1" applyFill="1" applyBorder="1" applyAlignment="1">
      <alignment horizontal="center" vertical="center" wrapText="1"/>
    </xf>
    <xf numFmtId="16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49" fontId="22" fillId="2" borderId="4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23" fillId="2" borderId="0" xfId="0" applyFont="1" applyFill="1" applyAlignment="1">
      <alignment horizontal="center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7" fillId="6" borderId="1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6" xfId="0" applyFont="1" applyFill="1" applyBorder="1" applyAlignment="1">
      <alignment horizontal="center" vertical="top" wrapText="1"/>
    </xf>
    <xf numFmtId="0" fontId="3" fillId="8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0" borderId="8" xfId="0" applyFont="1" applyBorder="1"/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0" fillId="7" borderId="1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1" fillId="2" borderId="9" xfId="0" applyFont="1" applyFill="1" applyBorder="1" applyAlignment="1">
      <alignment horizontal="center" vertical="justify" wrapText="1"/>
    </xf>
    <xf numFmtId="0" fontId="1" fillId="2" borderId="12" xfId="0" applyFont="1" applyFill="1" applyBorder="1" applyAlignment="1">
      <alignment horizontal="center" vertical="justify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7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0" fontId="3" fillId="9" borderId="5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6" fillId="0" borderId="21" xfId="0" applyFont="1" applyBorder="1" applyAlignment="1">
      <alignment vertical="top" wrapText="1"/>
    </xf>
    <xf numFmtId="0" fontId="16" fillId="0" borderId="18" xfId="0" applyFont="1" applyBorder="1" applyAlignment="1">
      <alignment vertical="top" wrapText="1"/>
    </xf>
    <xf numFmtId="0" fontId="3" fillId="8" borderId="5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15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15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3" fillId="8" borderId="15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justify"/>
    </xf>
    <xf numFmtId="0" fontId="1" fillId="4" borderId="4" xfId="0" applyFont="1" applyFill="1" applyBorder="1" applyAlignment="1">
      <alignment horizontal="left" vertical="justify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23" fillId="4" borderId="0" xfId="0" applyFont="1" applyFill="1" applyAlignment="1">
      <alignment horizontal="center" wrapText="1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3" fillId="8" borderId="5" xfId="0" applyFont="1" applyFill="1" applyBorder="1" applyAlignment="1">
      <alignment horizontal="center" wrapText="1"/>
    </xf>
    <xf numFmtId="0" fontId="3" fillId="8" borderId="6" xfId="0" applyFont="1" applyFill="1" applyBorder="1" applyAlignment="1">
      <alignment horizontal="center" wrapText="1"/>
    </xf>
    <xf numFmtId="0" fontId="3" fillId="8" borderId="15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3" fillId="8" borderId="8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10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2" fontId="23" fillId="4" borderId="0" xfId="0" applyNumberFormat="1" applyFont="1" applyFill="1" applyAlignment="1">
      <alignment horizontal="center" wrapText="1"/>
    </xf>
    <xf numFmtId="0" fontId="3" fillId="8" borderId="4" xfId="0" applyFont="1" applyFill="1" applyBorder="1" applyAlignment="1">
      <alignment horizontal="center" vertical="top" wrapText="1"/>
    </xf>
    <xf numFmtId="1" fontId="3" fillId="8" borderId="5" xfId="0" applyNumberFormat="1" applyFont="1" applyFill="1" applyBorder="1" applyAlignment="1">
      <alignment horizontal="center"/>
    </xf>
    <xf numFmtId="1" fontId="3" fillId="8" borderId="6" xfId="0" applyNumberFormat="1" applyFont="1" applyFill="1" applyBorder="1" applyAlignment="1">
      <alignment horizontal="center"/>
    </xf>
    <xf numFmtId="1" fontId="3" fillId="8" borderId="15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M2540"/>
  <sheetViews>
    <sheetView workbookViewId="0">
      <selection activeCell="A2" sqref="A2:F2"/>
    </sheetView>
  </sheetViews>
  <sheetFormatPr defaultRowHeight="12.75"/>
  <cols>
    <col min="1" max="1" width="4.5703125" style="1" customWidth="1"/>
    <col min="2" max="2" width="35.42578125" style="242" customWidth="1"/>
    <col min="3" max="3" width="11.5703125" style="2" customWidth="1"/>
    <col min="4" max="4" width="7.7109375" style="2" customWidth="1"/>
    <col min="5" max="5" width="17.85546875" style="3" customWidth="1"/>
    <col min="6" max="6" width="21" style="8" customWidth="1"/>
    <col min="7" max="247" width="9.140625" style="2"/>
    <col min="248" max="248" width="4.5703125" style="2" customWidth="1"/>
    <col min="249" max="249" width="35.42578125" style="2" customWidth="1"/>
    <col min="250" max="250" width="11" style="2" customWidth="1"/>
    <col min="251" max="251" width="7.7109375" style="2" customWidth="1"/>
    <col min="252" max="252" width="17.85546875" style="2" customWidth="1"/>
    <col min="253" max="253" width="21" style="2" customWidth="1"/>
    <col min="254" max="254" width="10.28515625" style="2" customWidth="1"/>
    <col min="255" max="503" width="9.140625" style="2"/>
    <col min="504" max="504" width="4.5703125" style="2" customWidth="1"/>
    <col min="505" max="505" width="35.42578125" style="2" customWidth="1"/>
    <col min="506" max="506" width="11" style="2" customWidth="1"/>
    <col min="507" max="507" width="7.7109375" style="2" customWidth="1"/>
    <col min="508" max="508" width="17.85546875" style="2" customWidth="1"/>
    <col min="509" max="509" width="21" style="2" customWidth="1"/>
    <col min="510" max="510" width="10.28515625" style="2" customWidth="1"/>
    <col min="511" max="759" width="9.140625" style="2"/>
    <col min="760" max="760" width="4.5703125" style="2" customWidth="1"/>
    <col min="761" max="761" width="35.42578125" style="2" customWidth="1"/>
    <col min="762" max="762" width="11" style="2" customWidth="1"/>
    <col min="763" max="763" width="7.7109375" style="2" customWidth="1"/>
    <col min="764" max="764" width="17.85546875" style="2" customWidth="1"/>
    <col min="765" max="765" width="21" style="2" customWidth="1"/>
    <col min="766" max="766" width="10.28515625" style="2" customWidth="1"/>
    <col min="767" max="1015" width="9.140625" style="2"/>
    <col min="1016" max="1016" width="4.5703125" style="2" customWidth="1"/>
    <col min="1017" max="1017" width="35.42578125" style="2" customWidth="1"/>
    <col min="1018" max="1018" width="11" style="2" customWidth="1"/>
    <col min="1019" max="1019" width="7.7109375" style="2" customWidth="1"/>
    <col min="1020" max="1020" width="17.85546875" style="2" customWidth="1"/>
    <col min="1021" max="1021" width="21" style="2" customWidth="1"/>
    <col min="1022" max="1022" width="10.28515625" style="2" customWidth="1"/>
    <col min="1023" max="1271" width="9.140625" style="2"/>
    <col min="1272" max="1272" width="4.5703125" style="2" customWidth="1"/>
    <col min="1273" max="1273" width="35.42578125" style="2" customWidth="1"/>
    <col min="1274" max="1274" width="11" style="2" customWidth="1"/>
    <col min="1275" max="1275" width="7.7109375" style="2" customWidth="1"/>
    <col min="1276" max="1276" width="17.85546875" style="2" customWidth="1"/>
    <col min="1277" max="1277" width="21" style="2" customWidth="1"/>
    <col min="1278" max="1278" width="10.28515625" style="2" customWidth="1"/>
    <col min="1279" max="1527" width="9.140625" style="2"/>
    <col min="1528" max="1528" width="4.5703125" style="2" customWidth="1"/>
    <col min="1529" max="1529" width="35.42578125" style="2" customWidth="1"/>
    <col min="1530" max="1530" width="11" style="2" customWidth="1"/>
    <col min="1531" max="1531" width="7.7109375" style="2" customWidth="1"/>
    <col min="1532" max="1532" width="17.85546875" style="2" customWidth="1"/>
    <col min="1533" max="1533" width="21" style="2" customWidth="1"/>
    <col min="1534" max="1534" width="10.28515625" style="2" customWidth="1"/>
    <col min="1535" max="1783" width="9.140625" style="2"/>
    <col min="1784" max="1784" width="4.5703125" style="2" customWidth="1"/>
    <col min="1785" max="1785" width="35.42578125" style="2" customWidth="1"/>
    <col min="1786" max="1786" width="11" style="2" customWidth="1"/>
    <col min="1787" max="1787" width="7.7109375" style="2" customWidth="1"/>
    <col min="1788" max="1788" width="17.85546875" style="2" customWidth="1"/>
    <col min="1789" max="1789" width="21" style="2" customWidth="1"/>
    <col min="1790" max="1790" width="10.28515625" style="2" customWidth="1"/>
    <col min="1791" max="2039" width="9.140625" style="2"/>
    <col min="2040" max="2040" width="4.5703125" style="2" customWidth="1"/>
    <col min="2041" max="2041" width="35.42578125" style="2" customWidth="1"/>
    <col min="2042" max="2042" width="11" style="2" customWidth="1"/>
    <col min="2043" max="2043" width="7.7109375" style="2" customWidth="1"/>
    <col min="2044" max="2044" width="17.85546875" style="2" customWidth="1"/>
    <col min="2045" max="2045" width="21" style="2" customWidth="1"/>
    <col min="2046" max="2046" width="10.28515625" style="2" customWidth="1"/>
    <col min="2047" max="2295" width="9.140625" style="2"/>
    <col min="2296" max="2296" width="4.5703125" style="2" customWidth="1"/>
    <col min="2297" max="2297" width="35.42578125" style="2" customWidth="1"/>
    <col min="2298" max="2298" width="11" style="2" customWidth="1"/>
    <col min="2299" max="2299" width="7.7109375" style="2" customWidth="1"/>
    <col min="2300" max="2300" width="17.85546875" style="2" customWidth="1"/>
    <col min="2301" max="2301" width="21" style="2" customWidth="1"/>
    <col min="2302" max="2302" width="10.28515625" style="2" customWidth="1"/>
    <col min="2303" max="2551" width="9.140625" style="2"/>
    <col min="2552" max="2552" width="4.5703125" style="2" customWidth="1"/>
    <col min="2553" max="2553" width="35.42578125" style="2" customWidth="1"/>
    <col min="2554" max="2554" width="11" style="2" customWidth="1"/>
    <col min="2555" max="2555" width="7.7109375" style="2" customWidth="1"/>
    <col min="2556" max="2556" width="17.85546875" style="2" customWidth="1"/>
    <col min="2557" max="2557" width="21" style="2" customWidth="1"/>
    <col min="2558" max="2558" width="10.28515625" style="2" customWidth="1"/>
    <col min="2559" max="2807" width="9.140625" style="2"/>
    <col min="2808" max="2808" width="4.5703125" style="2" customWidth="1"/>
    <col min="2809" max="2809" width="35.42578125" style="2" customWidth="1"/>
    <col min="2810" max="2810" width="11" style="2" customWidth="1"/>
    <col min="2811" max="2811" width="7.7109375" style="2" customWidth="1"/>
    <col min="2812" max="2812" width="17.85546875" style="2" customWidth="1"/>
    <col min="2813" max="2813" width="21" style="2" customWidth="1"/>
    <col min="2814" max="2814" width="10.28515625" style="2" customWidth="1"/>
    <col min="2815" max="3063" width="9.140625" style="2"/>
    <col min="3064" max="3064" width="4.5703125" style="2" customWidth="1"/>
    <col min="3065" max="3065" width="35.42578125" style="2" customWidth="1"/>
    <col min="3066" max="3066" width="11" style="2" customWidth="1"/>
    <col min="3067" max="3067" width="7.7109375" style="2" customWidth="1"/>
    <col min="3068" max="3068" width="17.85546875" style="2" customWidth="1"/>
    <col min="3069" max="3069" width="21" style="2" customWidth="1"/>
    <col min="3070" max="3070" width="10.28515625" style="2" customWidth="1"/>
    <col min="3071" max="3319" width="9.140625" style="2"/>
    <col min="3320" max="3320" width="4.5703125" style="2" customWidth="1"/>
    <col min="3321" max="3321" width="35.42578125" style="2" customWidth="1"/>
    <col min="3322" max="3322" width="11" style="2" customWidth="1"/>
    <col min="3323" max="3323" width="7.7109375" style="2" customWidth="1"/>
    <col min="3324" max="3324" width="17.85546875" style="2" customWidth="1"/>
    <col min="3325" max="3325" width="21" style="2" customWidth="1"/>
    <col min="3326" max="3326" width="10.28515625" style="2" customWidth="1"/>
    <col min="3327" max="3575" width="9.140625" style="2"/>
    <col min="3576" max="3576" width="4.5703125" style="2" customWidth="1"/>
    <col min="3577" max="3577" width="35.42578125" style="2" customWidth="1"/>
    <col min="3578" max="3578" width="11" style="2" customWidth="1"/>
    <col min="3579" max="3579" width="7.7109375" style="2" customWidth="1"/>
    <col min="3580" max="3580" width="17.85546875" style="2" customWidth="1"/>
    <col min="3581" max="3581" width="21" style="2" customWidth="1"/>
    <col min="3582" max="3582" width="10.28515625" style="2" customWidth="1"/>
    <col min="3583" max="3831" width="9.140625" style="2"/>
    <col min="3832" max="3832" width="4.5703125" style="2" customWidth="1"/>
    <col min="3833" max="3833" width="35.42578125" style="2" customWidth="1"/>
    <col min="3834" max="3834" width="11" style="2" customWidth="1"/>
    <col min="3835" max="3835" width="7.7109375" style="2" customWidth="1"/>
    <col min="3836" max="3836" width="17.85546875" style="2" customWidth="1"/>
    <col min="3837" max="3837" width="21" style="2" customWidth="1"/>
    <col min="3838" max="3838" width="10.28515625" style="2" customWidth="1"/>
    <col min="3839" max="4087" width="9.140625" style="2"/>
    <col min="4088" max="4088" width="4.5703125" style="2" customWidth="1"/>
    <col min="4089" max="4089" width="35.42578125" style="2" customWidth="1"/>
    <col min="4090" max="4090" width="11" style="2" customWidth="1"/>
    <col min="4091" max="4091" width="7.7109375" style="2" customWidth="1"/>
    <col min="4092" max="4092" width="17.85546875" style="2" customWidth="1"/>
    <col min="4093" max="4093" width="21" style="2" customWidth="1"/>
    <col min="4094" max="4094" width="10.28515625" style="2" customWidth="1"/>
    <col min="4095" max="4343" width="9.140625" style="2"/>
    <col min="4344" max="4344" width="4.5703125" style="2" customWidth="1"/>
    <col min="4345" max="4345" width="35.42578125" style="2" customWidth="1"/>
    <col min="4346" max="4346" width="11" style="2" customWidth="1"/>
    <col min="4347" max="4347" width="7.7109375" style="2" customWidth="1"/>
    <col min="4348" max="4348" width="17.85546875" style="2" customWidth="1"/>
    <col min="4349" max="4349" width="21" style="2" customWidth="1"/>
    <col min="4350" max="4350" width="10.28515625" style="2" customWidth="1"/>
    <col min="4351" max="4599" width="9.140625" style="2"/>
    <col min="4600" max="4600" width="4.5703125" style="2" customWidth="1"/>
    <col min="4601" max="4601" width="35.42578125" style="2" customWidth="1"/>
    <col min="4602" max="4602" width="11" style="2" customWidth="1"/>
    <col min="4603" max="4603" width="7.7109375" style="2" customWidth="1"/>
    <col min="4604" max="4604" width="17.85546875" style="2" customWidth="1"/>
    <col min="4605" max="4605" width="21" style="2" customWidth="1"/>
    <col min="4606" max="4606" width="10.28515625" style="2" customWidth="1"/>
    <col min="4607" max="4855" width="9.140625" style="2"/>
    <col min="4856" max="4856" width="4.5703125" style="2" customWidth="1"/>
    <col min="4857" max="4857" width="35.42578125" style="2" customWidth="1"/>
    <col min="4858" max="4858" width="11" style="2" customWidth="1"/>
    <col min="4859" max="4859" width="7.7109375" style="2" customWidth="1"/>
    <col min="4860" max="4860" width="17.85546875" style="2" customWidth="1"/>
    <col min="4861" max="4861" width="21" style="2" customWidth="1"/>
    <col min="4862" max="4862" width="10.28515625" style="2" customWidth="1"/>
    <col min="4863" max="5111" width="9.140625" style="2"/>
    <col min="5112" max="5112" width="4.5703125" style="2" customWidth="1"/>
    <col min="5113" max="5113" width="35.42578125" style="2" customWidth="1"/>
    <col min="5114" max="5114" width="11" style="2" customWidth="1"/>
    <col min="5115" max="5115" width="7.7109375" style="2" customWidth="1"/>
    <col min="5116" max="5116" width="17.85546875" style="2" customWidth="1"/>
    <col min="5117" max="5117" width="21" style="2" customWidth="1"/>
    <col min="5118" max="5118" width="10.28515625" style="2" customWidth="1"/>
    <col min="5119" max="5367" width="9.140625" style="2"/>
    <col min="5368" max="5368" width="4.5703125" style="2" customWidth="1"/>
    <col min="5369" max="5369" width="35.42578125" style="2" customWidth="1"/>
    <col min="5370" max="5370" width="11" style="2" customWidth="1"/>
    <col min="5371" max="5371" width="7.7109375" style="2" customWidth="1"/>
    <col min="5372" max="5372" width="17.85546875" style="2" customWidth="1"/>
    <col min="5373" max="5373" width="21" style="2" customWidth="1"/>
    <col min="5374" max="5374" width="10.28515625" style="2" customWidth="1"/>
    <col min="5375" max="5623" width="9.140625" style="2"/>
    <col min="5624" max="5624" width="4.5703125" style="2" customWidth="1"/>
    <col min="5625" max="5625" width="35.42578125" style="2" customWidth="1"/>
    <col min="5626" max="5626" width="11" style="2" customWidth="1"/>
    <col min="5627" max="5627" width="7.7109375" style="2" customWidth="1"/>
    <col min="5628" max="5628" width="17.85546875" style="2" customWidth="1"/>
    <col min="5629" max="5629" width="21" style="2" customWidth="1"/>
    <col min="5630" max="5630" width="10.28515625" style="2" customWidth="1"/>
    <col min="5631" max="5879" width="9.140625" style="2"/>
    <col min="5880" max="5880" width="4.5703125" style="2" customWidth="1"/>
    <col min="5881" max="5881" width="35.42578125" style="2" customWidth="1"/>
    <col min="5882" max="5882" width="11" style="2" customWidth="1"/>
    <col min="5883" max="5883" width="7.7109375" style="2" customWidth="1"/>
    <col min="5884" max="5884" width="17.85546875" style="2" customWidth="1"/>
    <col min="5885" max="5885" width="21" style="2" customWidth="1"/>
    <col min="5886" max="5886" width="10.28515625" style="2" customWidth="1"/>
    <col min="5887" max="6135" width="9.140625" style="2"/>
    <col min="6136" max="6136" width="4.5703125" style="2" customWidth="1"/>
    <col min="6137" max="6137" width="35.42578125" style="2" customWidth="1"/>
    <col min="6138" max="6138" width="11" style="2" customWidth="1"/>
    <col min="6139" max="6139" width="7.7109375" style="2" customWidth="1"/>
    <col min="6140" max="6140" width="17.85546875" style="2" customWidth="1"/>
    <col min="6141" max="6141" width="21" style="2" customWidth="1"/>
    <col min="6142" max="6142" width="10.28515625" style="2" customWidth="1"/>
    <col min="6143" max="6391" width="9.140625" style="2"/>
    <col min="6392" max="6392" width="4.5703125" style="2" customWidth="1"/>
    <col min="6393" max="6393" width="35.42578125" style="2" customWidth="1"/>
    <col min="6394" max="6394" width="11" style="2" customWidth="1"/>
    <col min="6395" max="6395" width="7.7109375" style="2" customWidth="1"/>
    <col min="6396" max="6396" width="17.85546875" style="2" customWidth="1"/>
    <col min="6397" max="6397" width="21" style="2" customWidth="1"/>
    <col min="6398" max="6398" width="10.28515625" style="2" customWidth="1"/>
    <col min="6399" max="6647" width="9.140625" style="2"/>
    <col min="6648" max="6648" width="4.5703125" style="2" customWidth="1"/>
    <col min="6649" max="6649" width="35.42578125" style="2" customWidth="1"/>
    <col min="6650" max="6650" width="11" style="2" customWidth="1"/>
    <col min="6651" max="6651" width="7.7109375" style="2" customWidth="1"/>
    <col min="6652" max="6652" width="17.85546875" style="2" customWidth="1"/>
    <col min="6653" max="6653" width="21" style="2" customWidth="1"/>
    <col min="6654" max="6654" width="10.28515625" style="2" customWidth="1"/>
    <col min="6655" max="6903" width="9.140625" style="2"/>
    <col min="6904" max="6904" width="4.5703125" style="2" customWidth="1"/>
    <col min="6905" max="6905" width="35.42578125" style="2" customWidth="1"/>
    <col min="6906" max="6906" width="11" style="2" customWidth="1"/>
    <col min="6907" max="6907" width="7.7109375" style="2" customWidth="1"/>
    <col min="6908" max="6908" width="17.85546875" style="2" customWidth="1"/>
    <col min="6909" max="6909" width="21" style="2" customWidth="1"/>
    <col min="6910" max="6910" width="10.28515625" style="2" customWidth="1"/>
    <col min="6911" max="7159" width="9.140625" style="2"/>
    <col min="7160" max="7160" width="4.5703125" style="2" customWidth="1"/>
    <col min="7161" max="7161" width="35.42578125" style="2" customWidth="1"/>
    <col min="7162" max="7162" width="11" style="2" customWidth="1"/>
    <col min="7163" max="7163" width="7.7109375" style="2" customWidth="1"/>
    <col min="7164" max="7164" width="17.85546875" style="2" customWidth="1"/>
    <col min="7165" max="7165" width="21" style="2" customWidth="1"/>
    <col min="7166" max="7166" width="10.28515625" style="2" customWidth="1"/>
    <col min="7167" max="7415" width="9.140625" style="2"/>
    <col min="7416" max="7416" width="4.5703125" style="2" customWidth="1"/>
    <col min="7417" max="7417" width="35.42578125" style="2" customWidth="1"/>
    <col min="7418" max="7418" width="11" style="2" customWidth="1"/>
    <col min="7419" max="7419" width="7.7109375" style="2" customWidth="1"/>
    <col min="7420" max="7420" width="17.85546875" style="2" customWidth="1"/>
    <col min="7421" max="7421" width="21" style="2" customWidth="1"/>
    <col min="7422" max="7422" width="10.28515625" style="2" customWidth="1"/>
    <col min="7423" max="7671" width="9.140625" style="2"/>
    <col min="7672" max="7672" width="4.5703125" style="2" customWidth="1"/>
    <col min="7673" max="7673" width="35.42578125" style="2" customWidth="1"/>
    <col min="7674" max="7674" width="11" style="2" customWidth="1"/>
    <col min="7675" max="7675" width="7.7109375" style="2" customWidth="1"/>
    <col min="7676" max="7676" width="17.85546875" style="2" customWidth="1"/>
    <col min="7677" max="7677" width="21" style="2" customWidth="1"/>
    <col min="7678" max="7678" width="10.28515625" style="2" customWidth="1"/>
    <col min="7679" max="7927" width="9.140625" style="2"/>
    <col min="7928" max="7928" width="4.5703125" style="2" customWidth="1"/>
    <col min="7929" max="7929" width="35.42578125" style="2" customWidth="1"/>
    <col min="7930" max="7930" width="11" style="2" customWidth="1"/>
    <col min="7931" max="7931" width="7.7109375" style="2" customWidth="1"/>
    <col min="7932" max="7932" width="17.85546875" style="2" customWidth="1"/>
    <col min="7933" max="7933" width="21" style="2" customWidth="1"/>
    <col min="7934" max="7934" width="10.28515625" style="2" customWidth="1"/>
    <col min="7935" max="8183" width="9.140625" style="2"/>
    <col min="8184" max="8184" width="4.5703125" style="2" customWidth="1"/>
    <col min="8185" max="8185" width="35.42578125" style="2" customWidth="1"/>
    <col min="8186" max="8186" width="11" style="2" customWidth="1"/>
    <col min="8187" max="8187" width="7.7109375" style="2" customWidth="1"/>
    <col min="8188" max="8188" width="17.85546875" style="2" customWidth="1"/>
    <col min="8189" max="8189" width="21" style="2" customWidth="1"/>
    <col min="8190" max="8190" width="10.28515625" style="2" customWidth="1"/>
    <col min="8191" max="8439" width="9.140625" style="2"/>
    <col min="8440" max="8440" width="4.5703125" style="2" customWidth="1"/>
    <col min="8441" max="8441" width="35.42578125" style="2" customWidth="1"/>
    <col min="8442" max="8442" width="11" style="2" customWidth="1"/>
    <col min="8443" max="8443" width="7.7109375" style="2" customWidth="1"/>
    <col min="8444" max="8444" width="17.85546875" style="2" customWidth="1"/>
    <col min="8445" max="8445" width="21" style="2" customWidth="1"/>
    <col min="8446" max="8446" width="10.28515625" style="2" customWidth="1"/>
    <col min="8447" max="8695" width="9.140625" style="2"/>
    <col min="8696" max="8696" width="4.5703125" style="2" customWidth="1"/>
    <col min="8697" max="8697" width="35.42578125" style="2" customWidth="1"/>
    <col min="8698" max="8698" width="11" style="2" customWidth="1"/>
    <col min="8699" max="8699" width="7.7109375" style="2" customWidth="1"/>
    <col min="8700" max="8700" width="17.85546875" style="2" customWidth="1"/>
    <col min="8701" max="8701" width="21" style="2" customWidth="1"/>
    <col min="8702" max="8702" width="10.28515625" style="2" customWidth="1"/>
    <col min="8703" max="8951" width="9.140625" style="2"/>
    <col min="8952" max="8952" width="4.5703125" style="2" customWidth="1"/>
    <col min="8953" max="8953" width="35.42578125" style="2" customWidth="1"/>
    <col min="8954" max="8954" width="11" style="2" customWidth="1"/>
    <col min="8955" max="8955" width="7.7109375" style="2" customWidth="1"/>
    <col min="8956" max="8956" width="17.85546875" style="2" customWidth="1"/>
    <col min="8957" max="8957" width="21" style="2" customWidth="1"/>
    <col min="8958" max="8958" width="10.28515625" style="2" customWidth="1"/>
    <col min="8959" max="9207" width="9.140625" style="2"/>
    <col min="9208" max="9208" width="4.5703125" style="2" customWidth="1"/>
    <col min="9209" max="9209" width="35.42578125" style="2" customWidth="1"/>
    <col min="9210" max="9210" width="11" style="2" customWidth="1"/>
    <col min="9211" max="9211" width="7.7109375" style="2" customWidth="1"/>
    <col min="9212" max="9212" width="17.85546875" style="2" customWidth="1"/>
    <col min="9213" max="9213" width="21" style="2" customWidth="1"/>
    <col min="9214" max="9214" width="10.28515625" style="2" customWidth="1"/>
    <col min="9215" max="9463" width="9.140625" style="2"/>
    <col min="9464" max="9464" width="4.5703125" style="2" customWidth="1"/>
    <col min="9465" max="9465" width="35.42578125" style="2" customWidth="1"/>
    <col min="9466" max="9466" width="11" style="2" customWidth="1"/>
    <col min="9467" max="9467" width="7.7109375" style="2" customWidth="1"/>
    <col min="9468" max="9468" width="17.85546875" style="2" customWidth="1"/>
    <col min="9469" max="9469" width="21" style="2" customWidth="1"/>
    <col min="9470" max="9470" width="10.28515625" style="2" customWidth="1"/>
    <col min="9471" max="9719" width="9.140625" style="2"/>
    <col min="9720" max="9720" width="4.5703125" style="2" customWidth="1"/>
    <col min="9721" max="9721" width="35.42578125" style="2" customWidth="1"/>
    <col min="9722" max="9722" width="11" style="2" customWidth="1"/>
    <col min="9723" max="9723" width="7.7109375" style="2" customWidth="1"/>
    <col min="9724" max="9724" width="17.85546875" style="2" customWidth="1"/>
    <col min="9725" max="9725" width="21" style="2" customWidth="1"/>
    <col min="9726" max="9726" width="10.28515625" style="2" customWidth="1"/>
    <col min="9727" max="9975" width="9.140625" style="2"/>
    <col min="9976" max="9976" width="4.5703125" style="2" customWidth="1"/>
    <col min="9977" max="9977" width="35.42578125" style="2" customWidth="1"/>
    <col min="9978" max="9978" width="11" style="2" customWidth="1"/>
    <col min="9979" max="9979" width="7.7109375" style="2" customWidth="1"/>
    <col min="9980" max="9980" width="17.85546875" style="2" customWidth="1"/>
    <col min="9981" max="9981" width="21" style="2" customWidth="1"/>
    <col min="9982" max="9982" width="10.28515625" style="2" customWidth="1"/>
    <col min="9983" max="10231" width="9.140625" style="2"/>
    <col min="10232" max="10232" width="4.5703125" style="2" customWidth="1"/>
    <col min="10233" max="10233" width="35.42578125" style="2" customWidth="1"/>
    <col min="10234" max="10234" width="11" style="2" customWidth="1"/>
    <col min="10235" max="10235" width="7.7109375" style="2" customWidth="1"/>
    <col min="10236" max="10236" width="17.85546875" style="2" customWidth="1"/>
    <col min="10237" max="10237" width="21" style="2" customWidth="1"/>
    <col min="10238" max="10238" width="10.28515625" style="2" customWidth="1"/>
    <col min="10239" max="10487" width="9.140625" style="2"/>
    <col min="10488" max="10488" width="4.5703125" style="2" customWidth="1"/>
    <col min="10489" max="10489" width="35.42578125" style="2" customWidth="1"/>
    <col min="10490" max="10490" width="11" style="2" customWidth="1"/>
    <col min="10491" max="10491" width="7.7109375" style="2" customWidth="1"/>
    <col min="10492" max="10492" width="17.85546875" style="2" customWidth="1"/>
    <col min="10493" max="10493" width="21" style="2" customWidth="1"/>
    <col min="10494" max="10494" width="10.28515625" style="2" customWidth="1"/>
    <col min="10495" max="10743" width="9.140625" style="2"/>
    <col min="10744" max="10744" width="4.5703125" style="2" customWidth="1"/>
    <col min="10745" max="10745" width="35.42578125" style="2" customWidth="1"/>
    <col min="10746" max="10746" width="11" style="2" customWidth="1"/>
    <col min="10747" max="10747" width="7.7109375" style="2" customWidth="1"/>
    <col min="10748" max="10748" width="17.85546875" style="2" customWidth="1"/>
    <col min="10749" max="10749" width="21" style="2" customWidth="1"/>
    <col min="10750" max="10750" width="10.28515625" style="2" customWidth="1"/>
    <col min="10751" max="10999" width="9.140625" style="2"/>
    <col min="11000" max="11000" width="4.5703125" style="2" customWidth="1"/>
    <col min="11001" max="11001" width="35.42578125" style="2" customWidth="1"/>
    <col min="11002" max="11002" width="11" style="2" customWidth="1"/>
    <col min="11003" max="11003" width="7.7109375" style="2" customWidth="1"/>
    <col min="11004" max="11004" width="17.85546875" style="2" customWidth="1"/>
    <col min="11005" max="11005" width="21" style="2" customWidth="1"/>
    <col min="11006" max="11006" width="10.28515625" style="2" customWidth="1"/>
    <col min="11007" max="11255" width="9.140625" style="2"/>
    <col min="11256" max="11256" width="4.5703125" style="2" customWidth="1"/>
    <col min="11257" max="11257" width="35.42578125" style="2" customWidth="1"/>
    <col min="11258" max="11258" width="11" style="2" customWidth="1"/>
    <col min="11259" max="11259" width="7.7109375" style="2" customWidth="1"/>
    <col min="11260" max="11260" width="17.85546875" style="2" customWidth="1"/>
    <col min="11261" max="11261" width="21" style="2" customWidth="1"/>
    <col min="11262" max="11262" width="10.28515625" style="2" customWidth="1"/>
    <col min="11263" max="11511" width="9.140625" style="2"/>
    <col min="11512" max="11512" width="4.5703125" style="2" customWidth="1"/>
    <col min="11513" max="11513" width="35.42578125" style="2" customWidth="1"/>
    <col min="11514" max="11514" width="11" style="2" customWidth="1"/>
    <col min="11515" max="11515" width="7.7109375" style="2" customWidth="1"/>
    <col min="11516" max="11516" width="17.85546875" style="2" customWidth="1"/>
    <col min="11517" max="11517" width="21" style="2" customWidth="1"/>
    <col min="11518" max="11518" width="10.28515625" style="2" customWidth="1"/>
    <col min="11519" max="11767" width="9.140625" style="2"/>
    <col min="11768" max="11768" width="4.5703125" style="2" customWidth="1"/>
    <col min="11769" max="11769" width="35.42578125" style="2" customWidth="1"/>
    <col min="11770" max="11770" width="11" style="2" customWidth="1"/>
    <col min="11771" max="11771" width="7.7109375" style="2" customWidth="1"/>
    <col min="11772" max="11772" width="17.85546875" style="2" customWidth="1"/>
    <col min="11773" max="11773" width="21" style="2" customWidth="1"/>
    <col min="11774" max="11774" width="10.28515625" style="2" customWidth="1"/>
    <col min="11775" max="12023" width="9.140625" style="2"/>
    <col min="12024" max="12024" width="4.5703125" style="2" customWidth="1"/>
    <col min="12025" max="12025" width="35.42578125" style="2" customWidth="1"/>
    <col min="12026" max="12026" width="11" style="2" customWidth="1"/>
    <col min="12027" max="12027" width="7.7109375" style="2" customWidth="1"/>
    <col min="12028" max="12028" width="17.85546875" style="2" customWidth="1"/>
    <col min="12029" max="12029" width="21" style="2" customWidth="1"/>
    <col min="12030" max="12030" width="10.28515625" style="2" customWidth="1"/>
    <col min="12031" max="12279" width="9.140625" style="2"/>
    <col min="12280" max="12280" width="4.5703125" style="2" customWidth="1"/>
    <col min="12281" max="12281" width="35.42578125" style="2" customWidth="1"/>
    <col min="12282" max="12282" width="11" style="2" customWidth="1"/>
    <col min="12283" max="12283" width="7.7109375" style="2" customWidth="1"/>
    <col min="12284" max="12284" width="17.85546875" style="2" customWidth="1"/>
    <col min="12285" max="12285" width="21" style="2" customWidth="1"/>
    <col min="12286" max="12286" width="10.28515625" style="2" customWidth="1"/>
    <col min="12287" max="12535" width="9.140625" style="2"/>
    <col min="12536" max="12536" width="4.5703125" style="2" customWidth="1"/>
    <col min="12537" max="12537" width="35.42578125" style="2" customWidth="1"/>
    <col min="12538" max="12538" width="11" style="2" customWidth="1"/>
    <col min="12539" max="12539" width="7.7109375" style="2" customWidth="1"/>
    <col min="12540" max="12540" width="17.85546875" style="2" customWidth="1"/>
    <col min="12541" max="12541" width="21" style="2" customWidth="1"/>
    <col min="12542" max="12542" width="10.28515625" style="2" customWidth="1"/>
    <col min="12543" max="12791" width="9.140625" style="2"/>
    <col min="12792" max="12792" width="4.5703125" style="2" customWidth="1"/>
    <col min="12793" max="12793" width="35.42578125" style="2" customWidth="1"/>
    <col min="12794" max="12794" width="11" style="2" customWidth="1"/>
    <col min="12795" max="12795" width="7.7109375" style="2" customWidth="1"/>
    <col min="12796" max="12796" width="17.85546875" style="2" customWidth="1"/>
    <col min="12797" max="12797" width="21" style="2" customWidth="1"/>
    <col min="12798" max="12798" width="10.28515625" style="2" customWidth="1"/>
    <col min="12799" max="13047" width="9.140625" style="2"/>
    <col min="13048" max="13048" width="4.5703125" style="2" customWidth="1"/>
    <col min="13049" max="13049" width="35.42578125" style="2" customWidth="1"/>
    <col min="13050" max="13050" width="11" style="2" customWidth="1"/>
    <col min="13051" max="13051" width="7.7109375" style="2" customWidth="1"/>
    <col min="13052" max="13052" width="17.85546875" style="2" customWidth="1"/>
    <col min="13053" max="13053" width="21" style="2" customWidth="1"/>
    <col min="13054" max="13054" width="10.28515625" style="2" customWidth="1"/>
    <col min="13055" max="13303" width="9.140625" style="2"/>
    <col min="13304" max="13304" width="4.5703125" style="2" customWidth="1"/>
    <col min="13305" max="13305" width="35.42578125" style="2" customWidth="1"/>
    <col min="13306" max="13306" width="11" style="2" customWidth="1"/>
    <col min="13307" max="13307" width="7.7109375" style="2" customWidth="1"/>
    <col min="13308" max="13308" width="17.85546875" style="2" customWidth="1"/>
    <col min="13309" max="13309" width="21" style="2" customWidth="1"/>
    <col min="13310" max="13310" width="10.28515625" style="2" customWidth="1"/>
    <col min="13311" max="13559" width="9.140625" style="2"/>
    <col min="13560" max="13560" width="4.5703125" style="2" customWidth="1"/>
    <col min="13561" max="13561" width="35.42578125" style="2" customWidth="1"/>
    <col min="13562" max="13562" width="11" style="2" customWidth="1"/>
    <col min="13563" max="13563" width="7.7109375" style="2" customWidth="1"/>
    <col min="13564" max="13564" width="17.85546875" style="2" customWidth="1"/>
    <col min="13565" max="13565" width="21" style="2" customWidth="1"/>
    <col min="13566" max="13566" width="10.28515625" style="2" customWidth="1"/>
    <col min="13567" max="13815" width="9.140625" style="2"/>
    <col min="13816" max="13816" width="4.5703125" style="2" customWidth="1"/>
    <col min="13817" max="13817" width="35.42578125" style="2" customWidth="1"/>
    <col min="13818" max="13818" width="11" style="2" customWidth="1"/>
    <col min="13819" max="13819" width="7.7109375" style="2" customWidth="1"/>
    <col min="13820" max="13820" width="17.85546875" style="2" customWidth="1"/>
    <col min="13821" max="13821" width="21" style="2" customWidth="1"/>
    <col min="13822" max="13822" width="10.28515625" style="2" customWidth="1"/>
    <col min="13823" max="14071" width="9.140625" style="2"/>
    <col min="14072" max="14072" width="4.5703125" style="2" customWidth="1"/>
    <col min="14073" max="14073" width="35.42578125" style="2" customWidth="1"/>
    <col min="14074" max="14074" width="11" style="2" customWidth="1"/>
    <col min="14075" max="14075" width="7.7109375" style="2" customWidth="1"/>
    <col min="14076" max="14076" width="17.85546875" style="2" customWidth="1"/>
    <col min="14077" max="14077" width="21" style="2" customWidth="1"/>
    <col min="14078" max="14078" width="10.28515625" style="2" customWidth="1"/>
    <col min="14079" max="14327" width="9.140625" style="2"/>
    <col min="14328" max="14328" width="4.5703125" style="2" customWidth="1"/>
    <col min="14329" max="14329" width="35.42578125" style="2" customWidth="1"/>
    <col min="14330" max="14330" width="11" style="2" customWidth="1"/>
    <col min="14331" max="14331" width="7.7109375" style="2" customWidth="1"/>
    <col min="14332" max="14332" width="17.85546875" style="2" customWidth="1"/>
    <col min="14333" max="14333" width="21" style="2" customWidth="1"/>
    <col min="14334" max="14334" width="10.28515625" style="2" customWidth="1"/>
    <col min="14335" max="14583" width="9.140625" style="2"/>
    <col min="14584" max="14584" width="4.5703125" style="2" customWidth="1"/>
    <col min="14585" max="14585" width="35.42578125" style="2" customWidth="1"/>
    <col min="14586" max="14586" width="11" style="2" customWidth="1"/>
    <col min="14587" max="14587" width="7.7109375" style="2" customWidth="1"/>
    <col min="14588" max="14588" width="17.85546875" style="2" customWidth="1"/>
    <col min="14589" max="14589" width="21" style="2" customWidth="1"/>
    <col min="14590" max="14590" width="10.28515625" style="2" customWidth="1"/>
    <col min="14591" max="14839" width="9.140625" style="2"/>
    <col min="14840" max="14840" width="4.5703125" style="2" customWidth="1"/>
    <col min="14841" max="14841" width="35.42578125" style="2" customWidth="1"/>
    <col min="14842" max="14842" width="11" style="2" customWidth="1"/>
    <col min="14843" max="14843" width="7.7109375" style="2" customWidth="1"/>
    <col min="14844" max="14844" width="17.85546875" style="2" customWidth="1"/>
    <col min="14845" max="14845" width="21" style="2" customWidth="1"/>
    <col min="14846" max="14846" width="10.28515625" style="2" customWidth="1"/>
    <col min="14847" max="15095" width="9.140625" style="2"/>
    <col min="15096" max="15096" width="4.5703125" style="2" customWidth="1"/>
    <col min="15097" max="15097" width="35.42578125" style="2" customWidth="1"/>
    <col min="15098" max="15098" width="11" style="2" customWidth="1"/>
    <col min="15099" max="15099" width="7.7109375" style="2" customWidth="1"/>
    <col min="15100" max="15100" width="17.85546875" style="2" customWidth="1"/>
    <col min="15101" max="15101" width="21" style="2" customWidth="1"/>
    <col min="15102" max="15102" width="10.28515625" style="2" customWidth="1"/>
    <col min="15103" max="15351" width="9.140625" style="2"/>
    <col min="15352" max="15352" width="4.5703125" style="2" customWidth="1"/>
    <col min="15353" max="15353" width="35.42578125" style="2" customWidth="1"/>
    <col min="15354" max="15354" width="11" style="2" customWidth="1"/>
    <col min="15355" max="15355" width="7.7109375" style="2" customWidth="1"/>
    <col min="15356" max="15356" width="17.85546875" style="2" customWidth="1"/>
    <col min="15357" max="15357" width="21" style="2" customWidth="1"/>
    <col min="15358" max="15358" width="10.28515625" style="2" customWidth="1"/>
    <col min="15359" max="15607" width="9.140625" style="2"/>
    <col min="15608" max="15608" width="4.5703125" style="2" customWidth="1"/>
    <col min="15609" max="15609" width="35.42578125" style="2" customWidth="1"/>
    <col min="15610" max="15610" width="11" style="2" customWidth="1"/>
    <col min="15611" max="15611" width="7.7109375" style="2" customWidth="1"/>
    <col min="15612" max="15612" width="17.85546875" style="2" customWidth="1"/>
    <col min="15613" max="15613" width="21" style="2" customWidth="1"/>
    <col min="15614" max="15614" width="10.28515625" style="2" customWidth="1"/>
    <col min="15615" max="15863" width="9.140625" style="2"/>
    <col min="15864" max="15864" width="4.5703125" style="2" customWidth="1"/>
    <col min="15865" max="15865" width="35.42578125" style="2" customWidth="1"/>
    <col min="15866" max="15866" width="11" style="2" customWidth="1"/>
    <col min="15867" max="15867" width="7.7109375" style="2" customWidth="1"/>
    <col min="15868" max="15868" width="17.85546875" style="2" customWidth="1"/>
    <col min="15869" max="15869" width="21" style="2" customWidth="1"/>
    <col min="15870" max="15870" width="10.28515625" style="2" customWidth="1"/>
    <col min="15871" max="16119" width="9.140625" style="2"/>
    <col min="16120" max="16120" width="4.5703125" style="2" customWidth="1"/>
    <col min="16121" max="16121" width="35.42578125" style="2" customWidth="1"/>
    <col min="16122" max="16122" width="11" style="2" customWidth="1"/>
    <col min="16123" max="16123" width="7.7109375" style="2" customWidth="1"/>
    <col min="16124" max="16124" width="17.85546875" style="2" customWidth="1"/>
    <col min="16125" max="16125" width="21" style="2" customWidth="1"/>
    <col min="16126" max="16126" width="10.28515625" style="2" customWidth="1"/>
    <col min="16127" max="16384" width="9.140625" style="2"/>
  </cols>
  <sheetData>
    <row r="1" spans="1:6" ht="21.75" customHeight="1">
      <c r="F1" s="4" t="s">
        <v>0</v>
      </c>
    </row>
    <row r="2" spans="1:6" ht="55.5" customHeight="1">
      <c r="A2" s="642" t="s">
        <v>996</v>
      </c>
      <c r="B2" s="642"/>
      <c r="C2" s="642"/>
      <c r="D2" s="642"/>
      <c r="E2" s="642"/>
      <c r="F2" s="642"/>
    </row>
    <row r="3" spans="1:6" ht="28.5" customHeight="1">
      <c r="B3" s="243"/>
      <c r="C3" s="5"/>
      <c r="D3" s="5"/>
      <c r="E3" s="5"/>
      <c r="F3" s="6"/>
    </row>
    <row r="4" spans="1:6" s="8" customFormat="1" ht="57.75" customHeight="1">
      <c r="A4" s="540" t="s">
        <v>1</v>
      </c>
      <c r="B4" s="244" t="s">
        <v>2</v>
      </c>
      <c r="C4" s="542" t="s">
        <v>3</v>
      </c>
      <c r="D4" s="540" t="s">
        <v>4</v>
      </c>
      <c r="E4" s="7" t="s">
        <v>5</v>
      </c>
      <c r="F4" s="540" t="s">
        <v>6</v>
      </c>
    </row>
    <row r="5" spans="1:6" s="8" customFormat="1" ht="15.75">
      <c r="A5" s="643" t="s">
        <v>820</v>
      </c>
      <c r="B5" s="644"/>
      <c r="C5" s="644"/>
      <c r="D5" s="644"/>
      <c r="E5" s="644"/>
      <c r="F5" s="645"/>
    </row>
    <row r="6" spans="1:6" s="8" customFormat="1">
      <c r="A6" s="646" t="s">
        <v>688</v>
      </c>
      <c r="B6" s="647"/>
      <c r="C6" s="647"/>
      <c r="D6" s="647"/>
      <c r="E6" s="647"/>
      <c r="F6" s="648"/>
    </row>
    <row r="7" spans="1:6" s="8" customFormat="1">
      <c r="A7" s="9">
        <v>1</v>
      </c>
      <c r="B7" s="256" t="s">
        <v>689</v>
      </c>
      <c r="C7" s="445">
        <f>SUM(C9+C15)</f>
        <v>578.29999999999995</v>
      </c>
      <c r="D7" s="175"/>
      <c r="E7" s="178"/>
      <c r="F7" s="634" t="s">
        <v>690</v>
      </c>
    </row>
    <row r="8" spans="1:6" s="8" customFormat="1">
      <c r="A8" s="545"/>
      <c r="B8" s="258"/>
      <c r="C8" s="151"/>
      <c r="D8" s="163"/>
      <c r="E8" s="151"/>
      <c r="F8" s="635"/>
    </row>
    <row r="9" spans="1:6" s="8" customFormat="1">
      <c r="A9" s="545" t="s">
        <v>11</v>
      </c>
      <c r="B9" s="258" t="s">
        <v>12</v>
      </c>
      <c r="C9" s="551">
        <f>SUM(C10:C13)</f>
        <v>283.39999999999998</v>
      </c>
      <c r="D9" s="599" t="s">
        <v>72</v>
      </c>
      <c r="E9" s="32" t="s">
        <v>9</v>
      </c>
      <c r="F9" s="635"/>
    </row>
    <row r="10" spans="1:6" s="8" customFormat="1">
      <c r="A10" s="545"/>
      <c r="B10" s="259" t="s">
        <v>14</v>
      </c>
      <c r="C10" s="151">
        <v>84.2</v>
      </c>
      <c r="D10" s="163" t="s">
        <v>15</v>
      </c>
      <c r="E10" s="151" t="s">
        <v>18</v>
      </c>
      <c r="F10" s="635"/>
    </row>
    <row r="11" spans="1:6" s="8" customFormat="1">
      <c r="A11" s="545"/>
      <c r="B11" s="259" t="s">
        <v>47</v>
      </c>
      <c r="C11" s="151">
        <v>10.8</v>
      </c>
      <c r="D11" s="163" t="s">
        <v>20</v>
      </c>
      <c r="E11" s="151" t="s">
        <v>18</v>
      </c>
      <c r="F11" s="635"/>
    </row>
    <row r="12" spans="1:6" s="8" customFormat="1">
      <c r="A12" s="545"/>
      <c r="B12" s="259" t="s">
        <v>21</v>
      </c>
      <c r="C12" s="151">
        <v>9.4</v>
      </c>
      <c r="D12" s="163" t="s">
        <v>22</v>
      </c>
      <c r="E12" s="151" t="s">
        <v>16</v>
      </c>
      <c r="F12" s="635"/>
    </row>
    <row r="13" spans="1:6" s="8" customFormat="1">
      <c r="A13" s="545"/>
      <c r="B13" s="259" t="s">
        <v>17</v>
      </c>
      <c r="C13" s="151">
        <v>179</v>
      </c>
      <c r="D13" s="163" t="s">
        <v>15</v>
      </c>
      <c r="E13" s="151" t="s">
        <v>18</v>
      </c>
      <c r="F13" s="635"/>
    </row>
    <row r="14" spans="1:6" s="8" customFormat="1">
      <c r="A14" s="545"/>
      <c r="B14" s="259" t="s">
        <v>691</v>
      </c>
      <c r="C14" s="151">
        <v>52</v>
      </c>
      <c r="D14" s="163" t="s">
        <v>15</v>
      </c>
      <c r="E14" s="151" t="s">
        <v>16</v>
      </c>
      <c r="F14" s="635"/>
    </row>
    <row r="15" spans="1:6" s="8" customFormat="1">
      <c r="A15" s="545" t="s">
        <v>29</v>
      </c>
      <c r="B15" s="258" t="s">
        <v>30</v>
      </c>
      <c r="C15" s="551">
        <f>SUM(C16:C18)</f>
        <v>294.89999999999998</v>
      </c>
      <c r="D15" s="599" t="s">
        <v>72</v>
      </c>
      <c r="E15" s="32" t="s">
        <v>9</v>
      </c>
      <c r="F15" s="635"/>
    </row>
    <row r="16" spans="1:6" s="8" customFormat="1">
      <c r="A16" s="545"/>
      <c r="B16" s="259" t="s">
        <v>17</v>
      </c>
      <c r="C16" s="151">
        <v>228</v>
      </c>
      <c r="D16" s="163" t="s">
        <v>15</v>
      </c>
      <c r="E16" s="151" t="s">
        <v>18</v>
      </c>
      <c r="F16" s="635"/>
    </row>
    <row r="17" spans="1:6" s="8" customFormat="1">
      <c r="A17" s="545"/>
      <c r="B17" s="259" t="s">
        <v>14</v>
      </c>
      <c r="C17" s="151">
        <v>44.9</v>
      </c>
      <c r="D17" s="163" t="s">
        <v>15</v>
      </c>
      <c r="E17" s="151" t="s">
        <v>18</v>
      </c>
      <c r="F17" s="635"/>
    </row>
    <row r="18" spans="1:6" s="8" customFormat="1">
      <c r="A18" s="13"/>
      <c r="B18" s="269" t="s">
        <v>215</v>
      </c>
      <c r="C18" s="22">
        <v>22</v>
      </c>
      <c r="D18" s="42" t="s">
        <v>15</v>
      </c>
      <c r="E18" s="22" t="s">
        <v>18</v>
      </c>
      <c r="F18" s="636"/>
    </row>
    <row r="19" spans="1:6" s="8" customFormat="1">
      <c r="A19" s="545">
        <v>2</v>
      </c>
      <c r="B19" s="296" t="s">
        <v>692</v>
      </c>
      <c r="C19" s="446">
        <f>C20+C31</f>
        <v>956.39999999999986</v>
      </c>
      <c r="D19" s="541"/>
      <c r="E19" s="32"/>
      <c r="F19" s="633" t="s">
        <v>693</v>
      </c>
    </row>
    <row r="20" spans="1:6" s="8" customFormat="1">
      <c r="A20" s="545"/>
      <c r="B20" s="250" t="s">
        <v>157</v>
      </c>
      <c r="C20" s="214">
        <f>SUM(C21:C36)</f>
        <v>769.59999999999991</v>
      </c>
      <c r="D20" s="543" t="s">
        <v>72</v>
      </c>
      <c r="E20" s="32" t="s">
        <v>9</v>
      </c>
      <c r="F20" s="633"/>
    </row>
    <row r="21" spans="1:6" s="8" customFormat="1">
      <c r="A21" s="545" t="s">
        <v>11</v>
      </c>
      <c r="B21" s="131" t="s">
        <v>694</v>
      </c>
      <c r="C21" s="179">
        <v>31</v>
      </c>
      <c r="D21" s="543" t="s">
        <v>15</v>
      </c>
      <c r="E21" s="32" t="s">
        <v>16</v>
      </c>
      <c r="F21" s="633"/>
    </row>
    <row r="22" spans="1:6" s="8" customFormat="1">
      <c r="A22" s="545"/>
      <c r="B22" s="131" t="s">
        <v>36</v>
      </c>
      <c r="C22" s="179">
        <v>35</v>
      </c>
      <c r="D22" s="543" t="s">
        <v>15</v>
      </c>
      <c r="E22" s="32" t="s">
        <v>42</v>
      </c>
      <c r="F22" s="633"/>
    </row>
    <row r="23" spans="1:6" s="8" customFormat="1">
      <c r="A23" s="545"/>
      <c r="B23" s="131" t="s">
        <v>39</v>
      </c>
      <c r="C23" s="179">
        <v>65.2</v>
      </c>
      <c r="D23" s="543" t="s">
        <v>15</v>
      </c>
      <c r="E23" s="32" t="s">
        <v>16</v>
      </c>
      <c r="F23" s="633"/>
    </row>
    <row r="24" spans="1:6" s="8" customFormat="1">
      <c r="A24" s="545"/>
      <c r="B24" s="131" t="s">
        <v>21</v>
      </c>
      <c r="C24" s="179">
        <v>14.1</v>
      </c>
      <c r="D24" s="543" t="s">
        <v>22</v>
      </c>
      <c r="E24" s="32" t="s">
        <v>18</v>
      </c>
      <c r="F24" s="633"/>
    </row>
    <row r="25" spans="1:6" s="8" customFormat="1">
      <c r="A25" s="545"/>
      <c r="B25" s="131" t="s">
        <v>695</v>
      </c>
      <c r="C25" s="179">
        <v>140.5</v>
      </c>
      <c r="D25" s="543" t="s">
        <v>15</v>
      </c>
      <c r="E25" s="32" t="s">
        <v>88</v>
      </c>
      <c r="F25" s="633"/>
    </row>
    <row r="26" spans="1:6" s="8" customFormat="1">
      <c r="A26" s="545"/>
      <c r="B26" s="131" t="s">
        <v>17</v>
      </c>
      <c r="C26" s="179">
        <v>64.7</v>
      </c>
      <c r="D26" s="543" t="s">
        <v>15</v>
      </c>
      <c r="E26" s="32" t="s">
        <v>18</v>
      </c>
      <c r="F26" s="633"/>
    </row>
    <row r="27" spans="1:6" s="8" customFormat="1">
      <c r="A27" s="545"/>
      <c r="B27" s="131" t="s">
        <v>17</v>
      </c>
      <c r="C27" s="179">
        <v>23</v>
      </c>
      <c r="D27" s="543" t="s">
        <v>15</v>
      </c>
      <c r="E27" s="32" t="s">
        <v>16</v>
      </c>
      <c r="F27" s="633"/>
    </row>
    <row r="28" spans="1:6" s="8" customFormat="1">
      <c r="A28" s="545"/>
      <c r="B28" s="131" t="s">
        <v>696</v>
      </c>
      <c r="C28" s="179">
        <v>11</v>
      </c>
      <c r="D28" s="543" t="s">
        <v>15</v>
      </c>
      <c r="E28" s="32" t="s">
        <v>68</v>
      </c>
      <c r="F28" s="633"/>
    </row>
    <row r="29" spans="1:6" s="8" customFormat="1">
      <c r="A29" s="545"/>
      <c r="B29" s="131" t="s">
        <v>215</v>
      </c>
      <c r="C29" s="179">
        <v>11.5</v>
      </c>
      <c r="D29" s="543" t="s">
        <v>15</v>
      </c>
      <c r="E29" s="32" t="s">
        <v>68</v>
      </c>
      <c r="F29" s="633"/>
    </row>
    <row r="30" spans="1:6" s="8" customFormat="1">
      <c r="A30" s="545"/>
      <c r="B30" s="131"/>
      <c r="C30" s="179"/>
      <c r="D30" s="543"/>
      <c r="E30" s="32"/>
      <c r="F30" s="633"/>
    </row>
    <row r="31" spans="1:6" s="8" customFormat="1">
      <c r="A31" s="545"/>
      <c r="B31" s="250" t="s">
        <v>48</v>
      </c>
      <c r="C31" s="553">
        <f>SUM(C33:C36)</f>
        <v>186.8</v>
      </c>
      <c r="D31" s="543" t="s">
        <v>13</v>
      </c>
      <c r="E31" s="32" t="s">
        <v>9</v>
      </c>
      <c r="F31" s="633"/>
    </row>
    <row r="32" spans="1:6" s="8" customFormat="1">
      <c r="A32" s="545" t="s">
        <v>29</v>
      </c>
      <c r="B32" s="131"/>
      <c r="C32" s="179"/>
      <c r="D32" s="543"/>
      <c r="E32" s="32"/>
      <c r="F32" s="633"/>
    </row>
    <row r="33" spans="1:6" s="8" customFormat="1">
      <c r="A33" s="545"/>
      <c r="B33" s="131" t="s">
        <v>524</v>
      </c>
      <c r="C33" s="179">
        <v>71.3</v>
      </c>
      <c r="D33" s="543" t="s">
        <v>15</v>
      </c>
      <c r="E33" s="32" t="s">
        <v>18</v>
      </c>
      <c r="F33" s="633"/>
    </row>
    <row r="34" spans="1:6" s="8" customFormat="1">
      <c r="A34" s="545"/>
      <c r="B34" s="131" t="s">
        <v>36</v>
      </c>
      <c r="C34" s="179">
        <v>83.5</v>
      </c>
      <c r="D34" s="543" t="s">
        <v>15</v>
      </c>
      <c r="E34" s="32" t="s">
        <v>68</v>
      </c>
      <c r="F34" s="633"/>
    </row>
    <row r="35" spans="1:6" s="8" customFormat="1">
      <c r="A35" s="545"/>
      <c r="B35" s="131" t="s">
        <v>39</v>
      </c>
      <c r="C35" s="179">
        <v>21.2</v>
      </c>
      <c r="D35" s="543" t="s">
        <v>27</v>
      </c>
      <c r="E35" s="32" t="s">
        <v>68</v>
      </c>
      <c r="F35" s="633"/>
    </row>
    <row r="36" spans="1:6" s="8" customFormat="1">
      <c r="A36" s="545" t="s">
        <v>81</v>
      </c>
      <c r="B36" s="131" t="s">
        <v>76</v>
      </c>
      <c r="C36" s="538">
        <v>10.8</v>
      </c>
      <c r="D36" s="543" t="s">
        <v>27</v>
      </c>
      <c r="E36" s="32" t="s">
        <v>18</v>
      </c>
      <c r="F36" s="633"/>
    </row>
    <row r="37" spans="1:6" s="8" customFormat="1">
      <c r="A37" s="9">
        <v>3</v>
      </c>
      <c r="B37" s="210" t="s">
        <v>697</v>
      </c>
      <c r="C37" s="447">
        <f>C38+C46</f>
        <v>655.20000000000005</v>
      </c>
      <c r="D37" s="624" t="s">
        <v>72</v>
      </c>
      <c r="E37" s="602" t="s">
        <v>9</v>
      </c>
      <c r="F37" s="634" t="s">
        <v>698</v>
      </c>
    </row>
    <row r="38" spans="1:6" s="8" customFormat="1">
      <c r="A38" s="545"/>
      <c r="B38" s="260" t="s">
        <v>12</v>
      </c>
      <c r="C38" s="25">
        <f>SUM(C39:C45)</f>
        <v>346.4</v>
      </c>
      <c r="D38" s="543"/>
      <c r="E38" s="600"/>
      <c r="F38" s="635"/>
    </row>
    <row r="39" spans="1:6" s="8" customFormat="1" ht="25.5">
      <c r="A39" s="545"/>
      <c r="B39" s="145" t="s">
        <v>467</v>
      </c>
      <c r="C39" s="544">
        <v>106.3</v>
      </c>
      <c r="D39" s="543" t="s">
        <v>15</v>
      </c>
      <c r="E39" s="600" t="s">
        <v>18</v>
      </c>
      <c r="F39" s="635"/>
    </row>
    <row r="40" spans="1:6" s="8" customFormat="1">
      <c r="A40" s="545"/>
      <c r="B40" s="145" t="s">
        <v>55</v>
      </c>
      <c r="C40" s="544">
        <v>32.799999999999997</v>
      </c>
      <c r="D40" s="543" t="s">
        <v>15</v>
      </c>
      <c r="E40" s="600" t="s">
        <v>18</v>
      </c>
      <c r="F40" s="635"/>
    </row>
    <row r="41" spans="1:6" s="8" customFormat="1">
      <c r="A41" s="545"/>
      <c r="B41" s="145" t="s">
        <v>84</v>
      </c>
      <c r="C41" s="544">
        <v>47.9</v>
      </c>
      <c r="D41" s="543" t="s">
        <v>15</v>
      </c>
      <c r="E41" s="600" t="s">
        <v>18</v>
      </c>
      <c r="F41" s="635"/>
    </row>
    <row r="42" spans="1:6" s="8" customFormat="1">
      <c r="A42" s="545"/>
      <c r="B42" s="145" t="s">
        <v>699</v>
      </c>
      <c r="C42" s="544">
        <v>47</v>
      </c>
      <c r="D42" s="543" t="s">
        <v>15</v>
      </c>
      <c r="E42" s="600" t="s">
        <v>68</v>
      </c>
      <c r="F42" s="635"/>
    </row>
    <row r="43" spans="1:6" s="8" customFormat="1">
      <c r="A43" s="545"/>
      <c r="B43" s="145" t="s">
        <v>233</v>
      </c>
      <c r="C43" s="544">
        <v>57</v>
      </c>
      <c r="D43" s="543" t="s">
        <v>15</v>
      </c>
      <c r="E43" s="600" t="s">
        <v>18</v>
      </c>
      <c r="F43" s="635"/>
    </row>
    <row r="44" spans="1:6" s="8" customFormat="1">
      <c r="A44" s="545"/>
      <c r="B44" s="145" t="s">
        <v>104</v>
      </c>
      <c r="C44" s="544">
        <v>12.4</v>
      </c>
      <c r="D44" s="543" t="s">
        <v>22</v>
      </c>
      <c r="E44" s="600" t="s">
        <v>18</v>
      </c>
      <c r="F44" s="635"/>
    </row>
    <row r="45" spans="1:6" s="8" customFormat="1">
      <c r="A45" s="545"/>
      <c r="B45" s="145" t="s">
        <v>76</v>
      </c>
      <c r="C45" s="544">
        <v>43</v>
      </c>
      <c r="D45" s="543" t="s">
        <v>27</v>
      </c>
      <c r="E45" s="600" t="s">
        <v>18</v>
      </c>
      <c r="F45" s="635"/>
    </row>
    <row r="46" spans="1:6" s="8" customFormat="1">
      <c r="A46" s="545"/>
      <c r="B46" s="257" t="s">
        <v>48</v>
      </c>
      <c r="C46" s="551">
        <f>SUM(C47:C51)</f>
        <v>308.8</v>
      </c>
      <c r="D46" s="163" t="s">
        <v>13</v>
      </c>
      <c r="E46" s="600" t="s">
        <v>9</v>
      </c>
      <c r="F46" s="635"/>
    </row>
    <row r="47" spans="1:6" s="8" customFormat="1">
      <c r="A47" s="545"/>
      <c r="B47" s="259" t="s">
        <v>17</v>
      </c>
      <c r="C47" s="151">
        <v>70.400000000000006</v>
      </c>
      <c r="D47" s="163" t="s">
        <v>15</v>
      </c>
      <c r="E47" s="151" t="s">
        <v>18</v>
      </c>
      <c r="F47" s="635"/>
    </row>
    <row r="48" spans="1:6" s="8" customFormat="1">
      <c r="A48" s="545"/>
      <c r="B48" s="259" t="s">
        <v>17</v>
      </c>
      <c r="C48" s="151">
        <v>149.4</v>
      </c>
      <c r="D48" s="163" t="s">
        <v>15</v>
      </c>
      <c r="E48" s="151" t="s">
        <v>368</v>
      </c>
      <c r="F48" s="635"/>
    </row>
    <row r="49" spans="1:6" s="8" customFormat="1">
      <c r="A49" s="545"/>
      <c r="B49" s="259" t="s">
        <v>39</v>
      </c>
      <c r="C49" s="151">
        <v>57</v>
      </c>
      <c r="D49" s="163" t="s">
        <v>15</v>
      </c>
      <c r="E49" s="151" t="s">
        <v>18</v>
      </c>
      <c r="F49" s="635"/>
    </row>
    <row r="50" spans="1:6" s="8" customFormat="1">
      <c r="A50" s="545"/>
      <c r="B50" s="145" t="s">
        <v>21</v>
      </c>
      <c r="C50" s="151">
        <v>12</v>
      </c>
      <c r="D50" s="163" t="s">
        <v>22</v>
      </c>
      <c r="E50" s="151" t="s">
        <v>18</v>
      </c>
      <c r="F50" s="635"/>
    </row>
    <row r="51" spans="1:6" s="8" customFormat="1">
      <c r="A51" s="545"/>
      <c r="B51" s="259" t="s">
        <v>35</v>
      </c>
      <c r="C51" s="151">
        <v>20</v>
      </c>
      <c r="D51" s="163" t="s">
        <v>20</v>
      </c>
      <c r="E51" s="151" t="s">
        <v>18</v>
      </c>
      <c r="F51" s="635"/>
    </row>
    <row r="52" spans="1:6" s="8" customFormat="1">
      <c r="A52" s="13"/>
      <c r="B52" s="269" t="s">
        <v>35</v>
      </c>
      <c r="C52" s="153">
        <v>10</v>
      </c>
      <c r="D52" s="94" t="s">
        <v>15</v>
      </c>
      <c r="E52" s="153" t="s">
        <v>42</v>
      </c>
      <c r="F52" s="636"/>
    </row>
    <row r="53" spans="1:6" s="8" customFormat="1">
      <c r="A53" s="545">
        <v>4</v>
      </c>
      <c r="B53" s="246" t="s">
        <v>30</v>
      </c>
      <c r="C53" s="448">
        <f>SUM(C54:C60)</f>
        <v>331.2</v>
      </c>
      <c r="D53" s="624" t="s">
        <v>72</v>
      </c>
      <c r="E53" s="602" t="s">
        <v>9</v>
      </c>
      <c r="F53" s="633" t="s">
        <v>701</v>
      </c>
    </row>
    <row r="54" spans="1:6" s="8" customFormat="1">
      <c r="A54" s="545"/>
      <c r="B54" s="247" t="s">
        <v>702</v>
      </c>
      <c r="C54" s="179">
        <v>146</v>
      </c>
      <c r="D54" s="163" t="s">
        <v>15</v>
      </c>
      <c r="E54" s="162" t="s">
        <v>18</v>
      </c>
      <c r="F54" s="633"/>
    </row>
    <row r="55" spans="1:6" s="8" customFormat="1">
      <c r="A55" s="545"/>
      <c r="B55" s="247" t="s">
        <v>14</v>
      </c>
      <c r="C55" s="179">
        <v>56.3</v>
      </c>
      <c r="D55" s="163" t="s">
        <v>15</v>
      </c>
      <c r="E55" s="162" t="s">
        <v>18</v>
      </c>
      <c r="F55" s="633"/>
    </row>
    <row r="56" spans="1:6" s="8" customFormat="1">
      <c r="A56" s="545"/>
      <c r="B56" s="247" t="s">
        <v>130</v>
      </c>
      <c r="C56" s="179">
        <v>29.8</v>
      </c>
      <c r="D56" s="163" t="s">
        <v>15</v>
      </c>
      <c r="E56" s="162" t="s">
        <v>368</v>
      </c>
      <c r="F56" s="633"/>
    </row>
    <row r="57" spans="1:6" s="8" customFormat="1">
      <c r="A57" s="545"/>
      <c r="B57" s="247" t="s">
        <v>703</v>
      </c>
      <c r="C57" s="179">
        <v>41.4</v>
      </c>
      <c r="D57" s="163" t="s">
        <v>15</v>
      </c>
      <c r="E57" s="162" t="s">
        <v>18</v>
      </c>
      <c r="F57" s="633"/>
    </row>
    <row r="58" spans="1:6" s="8" customFormat="1">
      <c r="A58" s="545"/>
      <c r="B58" s="247" t="s">
        <v>21</v>
      </c>
      <c r="C58" s="179">
        <v>12.4</v>
      </c>
      <c r="D58" s="163" t="s">
        <v>22</v>
      </c>
      <c r="E58" s="162" t="s">
        <v>18</v>
      </c>
      <c r="F58" s="633"/>
    </row>
    <row r="59" spans="1:6" s="8" customFormat="1">
      <c r="A59" s="545"/>
      <c r="B59" s="247" t="s">
        <v>492</v>
      </c>
      <c r="C59" s="179">
        <v>8.3000000000000007</v>
      </c>
      <c r="D59" s="163" t="s">
        <v>27</v>
      </c>
      <c r="E59" s="162" t="s">
        <v>368</v>
      </c>
      <c r="F59" s="633"/>
    </row>
    <row r="60" spans="1:6" s="8" customFormat="1">
      <c r="A60" s="13"/>
      <c r="B60" s="254" t="s">
        <v>47</v>
      </c>
      <c r="C60" s="90">
        <v>37</v>
      </c>
      <c r="D60" s="94" t="s">
        <v>20</v>
      </c>
      <c r="E60" s="215" t="s">
        <v>18</v>
      </c>
      <c r="F60" s="637"/>
    </row>
    <row r="61" spans="1:6" s="8" customFormat="1">
      <c r="A61" s="9">
        <v>5</v>
      </c>
      <c r="B61" s="245" t="s">
        <v>704</v>
      </c>
      <c r="C61" s="449">
        <f>SUM(C62:C65)</f>
        <v>204</v>
      </c>
      <c r="D61" s="624" t="s">
        <v>72</v>
      </c>
      <c r="E61" s="602" t="s">
        <v>9</v>
      </c>
      <c r="F61" s="638" t="s">
        <v>705</v>
      </c>
    </row>
    <row r="62" spans="1:6" s="8" customFormat="1">
      <c r="A62" s="545"/>
      <c r="B62" s="247" t="s">
        <v>17</v>
      </c>
      <c r="C62" s="179">
        <v>153.5</v>
      </c>
      <c r="D62" s="163" t="s">
        <v>15</v>
      </c>
      <c r="E62" s="162" t="s">
        <v>18</v>
      </c>
      <c r="F62" s="633"/>
    </row>
    <row r="63" spans="1:6" s="8" customFormat="1">
      <c r="A63" s="545"/>
      <c r="B63" s="131" t="s">
        <v>21</v>
      </c>
      <c r="C63" s="179">
        <v>2.5</v>
      </c>
      <c r="D63" s="163" t="s">
        <v>22</v>
      </c>
      <c r="E63" s="162" t="s">
        <v>18</v>
      </c>
      <c r="F63" s="633"/>
    </row>
    <row r="64" spans="1:6" s="8" customFormat="1">
      <c r="A64" s="545"/>
      <c r="B64" s="131" t="s">
        <v>706</v>
      </c>
      <c r="C64" s="179">
        <v>30.4</v>
      </c>
      <c r="D64" s="163" t="s">
        <v>67</v>
      </c>
      <c r="E64" s="162" t="s">
        <v>18</v>
      </c>
      <c r="F64" s="633"/>
    </row>
    <row r="65" spans="1:6" s="8" customFormat="1">
      <c r="A65" s="545"/>
      <c r="B65" s="247" t="s">
        <v>47</v>
      </c>
      <c r="C65" s="179">
        <v>17.600000000000001</v>
      </c>
      <c r="D65" s="163" t="s">
        <v>20</v>
      </c>
      <c r="E65" s="162" t="s">
        <v>18</v>
      </c>
      <c r="F65" s="633"/>
    </row>
    <row r="66" spans="1:6" s="8" customFormat="1">
      <c r="A66" s="9">
        <v>6</v>
      </c>
      <c r="B66" s="270" t="s">
        <v>707</v>
      </c>
      <c r="C66" s="445">
        <f>SUM(C67:C74)</f>
        <v>884</v>
      </c>
      <c r="D66" s="181" t="s">
        <v>13</v>
      </c>
      <c r="E66" s="178" t="s">
        <v>9</v>
      </c>
      <c r="F66" s="634" t="s">
        <v>708</v>
      </c>
    </row>
    <row r="67" spans="1:6" s="8" customFormat="1">
      <c r="A67" s="545"/>
      <c r="B67" s="259" t="s">
        <v>17</v>
      </c>
      <c r="C67" s="151">
        <v>145.69999999999999</v>
      </c>
      <c r="D67" s="163" t="s">
        <v>15</v>
      </c>
      <c r="E67" s="151" t="s">
        <v>18</v>
      </c>
      <c r="F67" s="635"/>
    </row>
    <row r="68" spans="1:6" s="8" customFormat="1">
      <c r="A68" s="545"/>
      <c r="B68" s="259" t="s">
        <v>14</v>
      </c>
      <c r="C68" s="151">
        <v>28</v>
      </c>
      <c r="D68" s="163" t="s">
        <v>15</v>
      </c>
      <c r="E68" s="151" t="s">
        <v>18</v>
      </c>
      <c r="F68" s="635"/>
    </row>
    <row r="69" spans="1:6" s="8" customFormat="1">
      <c r="A69" s="545"/>
      <c r="B69" s="259" t="s">
        <v>130</v>
      </c>
      <c r="C69" s="151">
        <v>33.9</v>
      </c>
      <c r="D69" s="163" t="s">
        <v>15</v>
      </c>
      <c r="E69" s="151" t="s">
        <v>18</v>
      </c>
      <c r="F69" s="635"/>
    </row>
    <row r="70" spans="1:6" s="8" customFormat="1">
      <c r="A70" s="545"/>
      <c r="B70" s="259" t="s">
        <v>45</v>
      </c>
      <c r="C70" s="151">
        <v>179</v>
      </c>
      <c r="D70" s="163" t="s">
        <v>148</v>
      </c>
      <c r="E70" s="151" t="s">
        <v>28</v>
      </c>
      <c r="F70" s="635"/>
    </row>
    <row r="71" spans="1:6" s="8" customFormat="1">
      <c r="A71" s="545"/>
      <c r="B71" s="259" t="s">
        <v>21</v>
      </c>
      <c r="C71" s="151">
        <v>4</v>
      </c>
      <c r="D71" s="163" t="s">
        <v>15</v>
      </c>
      <c r="E71" s="151" t="s">
        <v>18</v>
      </c>
      <c r="F71" s="635"/>
    </row>
    <row r="72" spans="1:6" s="8" customFormat="1">
      <c r="A72" s="545"/>
      <c r="B72" s="259" t="s">
        <v>514</v>
      </c>
      <c r="C72" s="151">
        <v>485.1</v>
      </c>
      <c r="D72" s="163" t="s">
        <v>27</v>
      </c>
      <c r="E72" s="151" t="s">
        <v>42</v>
      </c>
      <c r="F72" s="635"/>
    </row>
    <row r="73" spans="1:6" s="8" customFormat="1">
      <c r="A73" s="545"/>
      <c r="B73" s="259" t="s">
        <v>47</v>
      </c>
      <c r="C73" s="151">
        <v>6.3</v>
      </c>
      <c r="D73" s="163" t="s">
        <v>20</v>
      </c>
      <c r="E73" s="151" t="s">
        <v>18</v>
      </c>
      <c r="F73" s="635"/>
    </row>
    <row r="74" spans="1:6" s="8" customFormat="1">
      <c r="A74" s="13"/>
      <c r="B74" s="269" t="s">
        <v>616</v>
      </c>
      <c r="C74" s="153">
        <v>2</v>
      </c>
      <c r="D74" s="94" t="s">
        <v>709</v>
      </c>
      <c r="E74" s="153" t="s">
        <v>18</v>
      </c>
      <c r="F74" s="522"/>
    </row>
    <row r="75" spans="1:6" s="8" customFormat="1">
      <c r="A75" s="545"/>
      <c r="B75" s="252"/>
      <c r="C75" s="575">
        <f>C7+C19+C37+C53+C61+C66</f>
        <v>3609.0999999999995</v>
      </c>
      <c r="D75" s="297"/>
      <c r="E75" s="151"/>
      <c r="F75" s="523"/>
    </row>
    <row r="76" spans="1:6" s="8" customFormat="1">
      <c r="A76" s="639" t="s">
        <v>710</v>
      </c>
      <c r="B76" s="640"/>
      <c r="C76" s="640"/>
      <c r="D76" s="640"/>
      <c r="E76" s="640"/>
      <c r="F76" s="641"/>
    </row>
    <row r="77" spans="1:6" s="8" customFormat="1">
      <c r="A77" s="46">
        <v>7</v>
      </c>
      <c r="B77" s="251" t="s">
        <v>93</v>
      </c>
      <c r="C77" s="450">
        <f>SUM(C78,C83,C86,)</f>
        <v>516.29999999999995</v>
      </c>
      <c r="D77" s="624" t="s">
        <v>72</v>
      </c>
      <c r="E77" s="602" t="s">
        <v>9</v>
      </c>
      <c r="F77" s="638" t="s">
        <v>711</v>
      </c>
    </row>
    <row r="78" spans="1:6" s="8" customFormat="1">
      <c r="A78" s="47"/>
      <c r="B78" s="255" t="s">
        <v>169</v>
      </c>
      <c r="C78" s="18">
        <v>121</v>
      </c>
      <c r="D78" s="15"/>
      <c r="E78" s="603"/>
      <c r="F78" s="633"/>
    </row>
    <row r="79" spans="1:6" s="8" customFormat="1">
      <c r="A79" s="47"/>
      <c r="B79" s="252" t="s">
        <v>14</v>
      </c>
      <c r="C79" s="541">
        <v>50.4</v>
      </c>
      <c r="D79" s="15" t="s">
        <v>15</v>
      </c>
      <c r="E79" s="603" t="s">
        <v>18</v>
      </c>
      <c r="F79" s="633"/>
    </row>
    <row r="80" spans="1:6" s="8" customFormat="1">
      <c r="A80" s="47"/>
      <c r="B80" s="252" t="s">
        <v>524</v>
      </c>
      <c r="C80" s="541">
        <v>23.8</v>
      </c>
      <c r="D80" s="15" t="s">
        <v>15</v>
      </c>
      <c r="E80" s="603" t="s">
        <v>18</v>
      </c>
      <c r="F80" s="633"/>
    </row>
    <row r="81" spans="1:6" s="8" customFormat="1">
      <c r="A81" s="47"/>
      <c r="B81" s="252" t="s">
        <v>712</v>
      </c>
      <c r="C81" s="541">
        <v>28.8</v>
      </c>
      <c r="D81" s="15" t="s">
        <v>15</v>
      </c>
      <c r="E81" s="603" t="s">
        <v>18</v>
      </c>
      <c r="F81" s="633"/>
    </row>
    <row r="82" spans="1:6" s="8" customFormat="1">
      <c r="A82" s="47"/>
      <c r="B82" s="252" t="s">
        <v>47</v>
      </c>
      <c r="C82" s="541">
        <v>18</v>
      </c>
      <c r="D82" s="15" t="s">
        <v>20</v>
      </c>
      <c r="E82" s="603" t="s">
        <v>18</v>
      </c>
      <c r="F82" s="633"/>
    </row>
    <row r="83" spans="1:6" s="8" customFormat="1">
      <c r="A83" s="47"/>
      <c r="B83" s="255" t="s">
        <v>12</v>
      </c>
      <c r="C83" s="18">
        <v>85</v>
      </c>
      <c r="D83" s="15" t="s">
        <v>13</v>
      </c>
      <c r="E83" s="603" t="s">
        <v>9</v>
      </c>
      <c r="F83" s="633"/>
    </row>
    <row r="84" spans="1:6" s="8" customFormat="1">
      <c r="A84" s="47"/>
      <c r="B84" s="252" t="s">
        <v>713</v>
      </c>
      <c r="C84" s="541">
        <v>67</v>
      </c>
      <c r="D84" s="15" t="s">
        <v>15</v>
      </c>
      <c r="E84" s="603" t="s">
        <v>18</v>
      </c>
      <c r="F84" s="633"/>
    </row>
    <row r="85" spans="1:6" s="8" customFormat="1">
      <c r="A85" s="47"/>
      <c r="B85" s="252" t="s">
        <v>47</v>
      </c>
      <c r="C85" s="541">
        <v>18</v>
      </c>
      <c r="D85" s="15" t="s">
        <v>20</v>
      </c>
      <c r="E85" s="603" t="s">
        <v>18</v>
      </c>
      <c r="F85" s="633"/>
    </row>
    <row r="86" spans="1:6" s="8" customFormat="1">
      <c r="A86" s="47"/>
      <c r="B86" s="255" t="s">
        <v>30</v>
      </c>
      <c r="C86" s="18">
        <f>C87+C88</f>
        <v>310.3</v>
      </c>
      <c r="D86" s="15" t="s">
        <v>13</v>
      </c>
      <c r="E86" s="603" t="s">
        <v>9</v>
      </c>
      <c r="F86" s="633"/>
    </row>
    <row r="87" spans="1:6" s="8" customFormat="1" ht="25.5">
      <c r="A87" s="47"/>
      <c r="B87" s="252" t="s">
        <v>714</v>
      </c>
      <c r="C87" s="521">
        <v>292.3</v>
      </c>
      <c r="D87" s="625" t="s">
        <v>15</v>
      </c>
      <c r="E87" s="603" t="s">
        <v>18</v>
      </c>
      <c r="F87" s="633"/>
    </row>
    <row r="88" spans="1:6" s="8" customFormat="1">
      <c r="A88" s="47"/>
      <c r="B88" s="252" t="s">
        <v>47</v>
      </c>
      <c r="C88" s="541">
        <v>18</v>
      </c>
      <c r="D88" s="15" t="s">
        <v>20</v>
      </c>
      <c r="E88" s="603" t="s">
        <v>18</v>
      </c>
      <c r="F88" s="633"/>
    </row>
    <row r="89" spans="1:6" s="8" customFormat="1">
      <c r="A89" s="48"/>
      <c r="B89" s="253" t="s">
        <v>715</v>
      </c>
      <c r="C89" s="43">
        <v>4</v>
      </c>
      <c r="D89" s="16" t="s">
        <v>709</v>
      </c>
      <c r="E89" s="43" t="s">
        <v>18</v>
      </c>
      <c r="F89" s="637"/>
    </row>
    <row r="90" spans="1:6" s="8" customFormat="1">
      <c r="A90" s="639" t="s">
        <v>716</v>
      </c>
      <c r="B90" s="640"/>
      <c r="C90" s="640"/>
      <c r="D90" s="640"/>
      <c r="E90" s="640"/>
      <c r="F90" s="641"/>
    </row>
    <row r="91" spans="1:6" s="8" customFormat="1">
      <c r="A91" s="9">
        <v>8</v>
      </c>
      <c r="B91" s="256" t="s">
        <v>717</v>
      </c>
      <c r="C91" s="451">
        <f>C93+C109+C101</f>
        <v>1356.7</v>
      </c>
      <c r="D91" s="17"/>
      <c r="E91" s="602"/>
      <c r="F91" s="638" t="s">
        <v>718</v>
      </c>
    </row>
    <row r="92" spans="1:6" s="8" customFormat="1">
      <c r="A92" s="545"/>
      <c r="B92" s="257"/>
      <c r="C92" s="24">
        <f>SUM(C93,C101)</f>
        <v>676.9</v>
      </c>
      <c r="D92" s="544"/>
      <c r="E92" s="603"/>
      <c r="F92" s="633"/>
    </row>
    <row r="93" spans="1:6" s="8" customFormat="1">
      <c r="A93" s="545" t="s">
        <v>11</v>
      </c>
      <c r="B93" s="258" t="s">
        <v>12</v>
      </c>
      <c r="C93" s="18">
        <f>SUM(C94:C100)</f>
        <v>277.3</v>
      </c>
      <c r="D93" s="19" t="s">
        <v>72</v>
      </c>
      <c r="E93" s="603" t="s">
        <v>9</v>
      </c>
      <c r="F93" s="633"/>
    </row>
    <row r="94" spans="1:6" s="8" customFormat="1">
      <c r="A94" s="545"/>
      <c r="B94" s="259" t="s">
        <v>17</v>
      </c>
      <c r="C94" s="541">
        <v>95.8</v>
      </c>
      <c r="D94" s="19" t="s">
        <v>15</v>
      </c>
      <c r="E94" s="603" t="s">
        <v>18</v>
      </c>
      <c r="F94" s="633"/>
    </row>
    <row r="95" spans="1:6" s="8" customFormat="1">
      <c r="A95" s="545"/>
      <c r="B95" s="259" t="s">
        <v>45</v>
      </c>
      <c r="C95" s="541">
        <v>14.5</v>
      </c>
      <c r="D95" s="19" t="s">
        <v>15</v>
      </c>
      <c r="E95" s="603" t="s">
        <v>42</v>
      </c>
      <c r="F95" s="633"/>
    </row>
    <row r="96" spans="1:6" s="8" customFormat="1">
      <c r="A96" s="545"/>
      <c r="B96" s="259" t="s">
        <v>39</v>
      </c>
      <c r="C96" s="541">
        <v>57</v>
      </c>
      <c r="D96" s="19" t="s">
        <v>15</v>
      </c>
      <c r="E96" s="603" t="s">
        <v>18</v>
      </c>
      <c r="F96" s="633"/>
    </row>
    <row r="97" spans="1:6" s="8" customFormat="1">
      <c r="A97" s="545"/>
      <c r="B97" s="259" t="s">
        <v>691</v>
      </c>
      <c r="C97" s="541">
        <v>79</v>
      </c>
      <c r="D97" s="19" t="s">
        <v>15</v>
      </c>
      <c r="E97" s="603" t="s">
        <v>18</v>
      </c>
      <c r="F97" s="633"/>
    </row>
    <row r="98" spans="1:6" s="8" customFormat="1">
      <c r="A98" s="545"/>
      <c r="B98" s="145" t="s">
        <v>21</v>
      </c>
      <c r="C98" s="541">
        <v>8</v>
      </c>
      <c r="D98" s="19" t="s">
        <v>22</v>
      </c>
      <c r="E98" s="603" t="s">
        <v>18</v>
      </c>
      <c r="F98" s="633"/>
    </row>
    <row r="99" spans="1:6" s="8" customFormat="1">
      <c r="A99" s="545"/>
      <c r="B99" s="259" t="s">
        <v>719</v>
      </c>
      <c r="C99" s="541">
        <v>10.7</v>
      </c>
      <c r="D99" s="19" t="s">
        <v>20</v>
      </c>
      <c r="E99" s="603" t="s">
        <v>42</v>
      </c>
      <c r="F99" s="633"/>
    </row>
    <row r="100" spans="1:6" s="8" customFormat="1">
      <c r="A100" s="545"/>
      <c r="B100" s="259" t="s">
        <v>35</v>
      </c>
      <c r="C100" s="541">
        <v>12.3</v>
      </c>
      <c r="D100" s="19" t="s">
        <v>20</v>
      </c>
      <c r="E100" s="603" t="s">
        <v>18</v>
      </c>
      <c r="F100" s="633"/>
    </row>
    <row r="101" spans="1:6" s="8" customFormat="1">
      <c r="A101" s="545"/>
      <c r="B101" s="260" t="s">
        <v>403</v>
      </c>
      <c r="C101" s="24">
        <f>SUM(C103:C108)</f>
        <v>399.59999999999997</v>
      </c>
      <c r="D101" s="19" t="s">
        <v>72</v>
      </c>
      <c r="E101" s="603" t="s">
        <v>9</v>
      </c>
      <c r="F101" s="633"/>
    </row>
    <row r="102" spans="1:6" s="8" customFormat="1">
      <c r="A102" s="545"/>
      <c r="B102" s="260"/>
      <c r="C102" s="24"/>
      <c r="D102" s="19"/>
      <c r="E102" s="603"/>
      <c r="F102" s="633"/>
    </row>
    <row r="103" spans="1:6" s="8" customFormat="1">
      <c r="A103" s="545" t="s">
        <v>29</v>
      </c>
      <c r="B103" s="261" t="s">
        <v>720</v>
      </c>
      <c r="C103" s="226">
        <v>92.4</v>
      </c>
      <c r="D103" s="19" t="s">
        <v>15</v>
      </c>
      <c r="E103" s="603" t="s">
        <v>42</v>
      </c>
      <c r="F103" s="633"/>
    </row>
    <row r="104" spans="1:6" s="8" customFormat="1">
      <c r="A104" s="545"/>
      <c r="B104" s="261" t="s">
        <v>626</v>
      </c>
      <c r="C104" s="227">
        <v>200.8</v>
      </c>
      <c r="D104" s="19" t="s">
        <v>15</v>
      </c>
      <c r="E104" s="603" t="s">
        <v>18</v>
      </c>
      <c r="F104" s="633"/>
    </row>
    <row r="105" spans="1:6" s="8" customFormat="1">
      <c r="A105" s="545"/>
      <c r="B105" s="261" t="s">
        <v>721</v>
      </c>
      <c r="C105" s="227">
        <v>76.400000000000006</v>
      </c>
      <c r="D105" s="19" t="s">
        <v>15</v>
      </c>
      <c r="E105" s="603" t="s">
        <v>18</v>
      </c>
      <c r="F105" s="633"/>
    </row>
    <row r="106" spans="1:6" s="8" customFormat="1">
      <c r="A106" s="545"/>
      <c r="B106" s="261" t="s">
        <v>722</v>
      </c>
      <c r="C106" s="226">
        <v>11.9</v>
      </c>
      <c r="D106" s="19" t="s">
        <v>15</v>
      </c>
      <c r="E106" s="603" t="s">
        <v>18</v>
      </c>
      <c r="F106" s="633"/>
    </row>
    <row r="107" spans="1:6" s="8" customFormat="1">
      <c r="A107" s="545"/>
      <c r="B107" s="261" t="s">
        <v>723</v>
      </c>
      <c r="C107" s="227">
        <v>5.2</v>
      </c>
      <c r="D107" s="19" t="s">
        <v>22</v>
      </c>
      <c r="E107" s="603" t="s">
        <v>18</v>
      </c>
      <c r="F107" s="633"/>
    </row>
    <row r="108" spans="1:6" s="8" customFormat="1">
      <c r="A108" s="545"/>
      <c r="B108" s="261" t="s">
        <v>724</v>
      </c>
      <c r="C108" s="227">
        <v>12.9</v>
      </c>
      <c r="D108" s="19" t="s">
        <v>20</v>
      </c>
      <c r="E108" s="603" t="s">
        <v>18</v>
      </c>
      <c r="F108" s="633"/>
    </row>
    <row r="109" spans="1:6" s="8" customFormat="1">
      <c r="A109" s="9">
        <v>9</v>
      </c>
      <c r="B109" s="270" t="s">
        <v>30</v>
      </c>
      <c r="C109" s="45">
        <f>SUM(C111:C117)</f>
        <v>679.80000000000007</v>
      </c>
      <c r="D109" s="41" t="s">
        <v>72</v>
      </c>
      <c r="E109" s="7" t="s">
        <v>9</v>
      </c>
      <c r="F109" s="634" t="s">
        <v>725</v>
      </c>
    </row>
    <row r="110" spans="1:6" s="8" customFormat="1">
      <c r="A110" s="545"/>
      <c r="B110" s="258"/>
      <c r="C110" s="546"/>
      <c r="D110" s="599"/>
      <c r="E110" s="32"/>
      <c r="F110" s="635"/>
    </row>
    <row r="111" spans="1:6" s="8" customFormat="1">
      <c r="A111" s="545"/>
      <c r="B111" s="259" t="s">
        <v>17</v>
      </c>
      <c r="C111" s="544">
        <v>93.5</v>
      </c>
      <c r="D111" s="599" t="s">
        <v>15</v>
      </c>
      <c r="E111" s="32" t="s">
        <v>18</v>
      </c>
      <c r="F111" s="635"/>
    </row>
    <row r="112" spans="1:6" s="8" customFormat="1">
      <c r="A112" s="545"/>
      <c r="B112" s="259" t="s">
        <v>19</v>
      </c>
      <c r="C112" s="544">
        <v>12</v>
      </c>
      <c r="D112" s="599" t="s">
        <v>15</v>
      </c>
      <c r="E112" s="32" t="s">
        <v>18</v>
      </c>
      <c r="F112" s="635"/>
    </row>
    <row r="113" spans="1:6" s="8" customFormat="1">
      <c r="A113" s="545"/>
      <c r="B113" s="259" t="s">
        <v>14</v>
      </c>
      <c r="C113" s="544">
        <v>69.7</v>
      </c>
      <c r="D113" s="599" t="s">
        <v>15</v>
      </c>
      <c r="E113" s="32" t="s">
        <v>18</v>
      </c>
      <c r="F113" s="635"/>
    </row>
    <row r="114" spans="1:6" s="8" customFormat="1">
      <c r="A114" s="545"/>
      <c r="B114" s="259" t="s">
        <v>47</v>
      </c>
      <c r="C114" s="544">
        <v>12.9</v>
      </c>
      <c r="D114" s="599" t="s">
        <v>20</v>
      </c>
      <c r="E114" s="32" t="s">
        <v>18</v>
      </c>
      <c r="F114" s="635"/>
    </row>
    <row r="115" spans="1:6" s="8" customFormat="1">
      <c r="A115" s="545"/>
      <c r="B115" s="259" t="s">
        <v>36</v>
      </c>
      <c r="C115" s="544">
        <v>472.5</v>
      </c>
      <c r="D115" s="599" t="s">
        <v>15</v>
      </c>
      <c r="E115" s="32" t="s">
        <v>18</v>
      </c>
      <c r="F115" s="635"/>
    </row>
    <row r="116" spans="1:6" s="8" customFormat="1">
      <c r="A116" s="545"/>
      <c r="B116" s="259" t="s">
        <v>21</v>
      </c>
      <c r="C116" s="544">
        <v>19.2</v>
      </c>
      <c r="D116" s="599" t="s">
        <v>22</v>
      </c>
      <c r="E116" s="32" t="s">
        <v>18</v>
      </c>
      <c r="F116" s="635"/>
    </row>
    <row r="117" spans="1:6" s="8" customFormat="1">
      <c r="A117" s="545"/>
      <c r="B117" s="259"/>
      <c r="C117" s="544"/>
      <c r="D117" s="599"/>
      <c r="E117" s="32"/>
      <c r="F117" s="635"/>
    </row>
    <row r="118" spans="1:6" s="8" customFormat="1">
      <c r="A118" s="13"/>
      <c r="B118" s="269"/>
      <c r="C118" s="22"/>
      <c r="D118" s="42"/>
      <c r="E118" s="91"/>
      <c r="F118" s="522"/>
    </row>
    <row r="119" spans="1:6" s="8" customFormat="1">
      <c r="A119" s="639" t="s">
        <v>962</v>
      </c>
      <c r="B119" s="640"/>
      <c r="C119" s="640"/>
      <c r="D119" s="640"/>
      <c r="E119" s="640"/>
      <c r="F119" s="641"/>
    </row>
    <row r="120" spans="1:6" s="8" customFormat="1">
      <c r="A120" s="9">
        <v>10</v>
      </c>
      <c r="B120" s="256" t="s">
        <v>726</v>
      </c>
      <c r="C120" s="445">
        <v>844.2</v>
      </c>
      <c r="D120" s="540"/>
      <c r="E120" s="17"/>
      <c r="F120" s="634" t="s">
        <v>727</v>
      </c>
    </row>
    <row r="121" spans="1:6" s="8" customFormat="1">
      <c r="A121" s="545" t="s">
        <v>11</v>
      </c>
      <c r="B121" s="258" t="s">
        <v>12</v>
      </c>
      <c r="C121" s="546">
        <v>402.1</v>
      </c>
      <c r="D121" s="599" t="s">
        <v>72</v>
      </c>
      <c r="E121" s="600" t="s">
        <v>9</v>
      </c>
      <c r="F121" s="635"/>
    </row>
    <row r="122" spans="1:6" s="8" customFormat="1">
      <c r="A122" s="545"/>
      <c r="B122" s="259" t="s">
        <v>17</v>
      </c>
      <c r="C122" s="544">
        <v>126.7</v>
      </c>
      <c r="D122" s="543" t="s">
        <v>15</v>
      </c>
      <c r="E122" s="600" t="s">
        <v>18</v>
      </c>
      <c r="F122" s="635"/>
    </row>
    <row r="123" spans="1:6" s="8" customFormat="1">
      <c r="A123" s="545"/>
      <c r="B123" s="259" t="s">
        <v>14</v>
      </c>
      <c r="C123" s="544">
        <v>61.1</v>
      </c>
      <c r="D123" s="543" t="s">
        <v>15</v>
      </c>
      <c r="E123" s="600" t="s">
        <v>18</v>
      </c>
      <c r="F123" s="635"/>
    </row>
    <row r="124" spans="1:6" s="8" customFormat="1">
      <c r="A124" s="545"/>
      <c r="B124" s="259" t="s">
        <v>47</v>
      </c>
      <c r="C124" s="544">
        <v>30.4</v>
      </c>
      <c r="D124" s="543" t="s">
        <v>15</v>
      </c>
      <c r="E124" s="600" t="s">
        <v>18</v>
      </c>
      <c r="F124" s="635"/>
    </row>
    <row r="125" spans="1:6" s="8" customFormat="1">
      <c r="A125" s="545"/>
      <c r="B125" s="259" t="s">
        <v>36</v>
      </c>
      <c r="C125" s="544">
        <v>171.8</v>
      </c>
      <c r="D125" s="543" t="s">
        <v>20</v>
      </c>
      <c r="E125" s="600" t="s">
        <v>150</v>
      </c>
      <c r="F125" s="635"/>
    </row>
    <row r="126" spans="1:6" s="8" customFormat="1">
      <c r="A126" s="545"/>
      <c r="B126" s="259" t="s">
        <v>104</v>
      </c>
      <c r="C126" s="544">
        <v>12.1</v>
      </c>
      <c r="D126" s="543" t="s">
        <v>22</v>
      </c>
      <c r="E126" s="600" t="s">
        <v>18</v>
      </c>
      <c r="F126" s="635"/>
    </row>
    <row r="127" spans="1:6" s="8" customFormat="1">
      <c r="A127" s="545"/>
      <c r="B127" s="145" t="s">
        <v>573</v>
      </c>
      <c r="C127" s="544">
        <v>3</v>
      </c>
      <c r="D127" s="543" t="s">
        <v>22</v>
      </c>
      <c r="E127" s="600" t="s">
        <v>18</v>
      </c>
      <c r="F127" s="635"/>
    </row>
    <row r="128" spans="1:6" s="8" customFormat="1">
      <c r="A128" s="545"/>
      <c r="B128" s="145"/>
      <c r="C128" s="544"/>
      <c r="D128" s="543" t="s">
        <v>67</v>
      </c>
      <c r="E128" s="600" t="s">
        <v>68</v>
      </c>
      <c r="F128" s="635"/>
    </row>
    <row r="129" spans="1:6" s="8" customFormat="1">
      <c r="A129" s="545" t="s">
        <v>29</v>
      </c>
      <c r="B129" s="258" t="s">
        <v>30</v>
      </c>
      <c r="C129" s="546">
        <v>442.1</v>
      </c>
      <c r="D129" s="599" t="s">
        <v>72</v>
      </c>
      <c r="E129" s="600" t="s">
        <v>9</v>
      </c>
      <c r="F129" s="635"/>
    </row>
    <row r="130" spans="1:6" s="8" customFormat="1">
      <c r="A130" s="545"/>
      <c r="B130" s="259" t="s">
        <v>17</v>
      </c>
      <c r="C130" s="544">
        <v>61.6</v>
      </c>
      <c r="D130" s="543" t="s">
        <v>15</v>
      </c>
      <c r="E130" s="600" t="s">
        <v>18</v>
      </c>
      <c r="F130" s="635"/>
    </row>
    <row r="131" spans="1:6" s="8" customFormat="1">
      <c r="A131" s="545"/>
      <c r="B131" s="259" t="s">
        <v>14</v>
      </c>
      <c r="C131" s="544">
        <v>31.7</v>
      </c>
      <c r="D131" s="543" t="s">
        <v>15</v>
      </c>
      <c r="E131" s="600" t="s">
        <v>18</v>
      </c>
      <c r="F131" s="635"/>
    </row>
    <row r="132" spans="1:6" s="8" customFormat="1">
      <c r="A132" s="545"/>
      <c r="B132" s="259" t="s">
        <v>47</v>
      </c>
      <c r="C132" s="544">
        <v>18</v>
      </c>
      <c r="D132" s="543" t="s">
        <v>20</v>
      </c>
      <c r="E132" s="600" t="s">
        <v>18</v>
      </c>
      <c r="F132" s="635"/>
    </row>
    <row r="133" spans="1:6" s="8" customFormat="1">
      <c r="A133" s="13"/>
      <c r="B133" s="269" t="s">
        <v>36</v>
      </c>
      <c r="C133" s="22">
        <v>330.8</v>
      </c>
      <c r="D133" s="42" t="s">
        <v>15</v>
      </c>
      <c r="E133" s="22" t="s">
        <v>18</v>
      </c>
      <c r="F133" s="636"/>
    </row>
    <row r="134" spans="1:6" s="8" customFormat="1">
      <c r="A134" s="639" t="s">
        <v>1001</v>
      </c>
      <c r="B134" s="640"/>
      <c r="C134" s="640"/>
      <c r="D134" s="640"/>
      <c r="E134" s="640"/>
      <c r="F134" s="641"/>
    </row>
    <row r="135" spans="1:6" s="8" customFormat="1">
      <c r="A135" s="9">
        <v>11</v>
      </c>
      <c r="B135" s="256" t="s">
        <v>728</v>
      </c>
      <c r="C135" s="452">
        <f>SUM(C136,C141,C148)</f>
        <v>889.2</v>
      </c>
      <c r="D135" s="540"/>
      <c r="E135" s="17"/>
      <c r="F135" s="634" t="s">
        <v>729</v>
      </c>
    </row>
    <row r="136" spans="1:6" s="8" customFormat="1">
      <c r="A136" s="545" t="s">
        <v>11</v>
      </c>
      <c r="B136" s="258" t="s">
        <v>12</v>
      </c>
      <c r="C136" s="546">
        <v>260.8</v>
      </c>
      <c r="D136" s="599" t="s">
        <v>72</v>
      </c>
      <c r="E136" s="600" t="s">
        <v>9</v>
      </c>
      <c r="F136" s="635"/>
    </row>
    <row r="137" spans="1:6" s="8" customFormat="1">
      <c r="A137" s="545"/>
      <c r="B137" s="259" t="s">
        <v>14</v>
      </c>
      <c r="C137" s="544">
        <v>42.6</v>
      </c>
      <c r="D137" s="543" t="s">
        <v>27</v>
      </c>
      <c r="E137" s="600" t="s">
        <v>18</v>
      </c>
      <c r="F137" s="635"/>
    </row>
    <row r="138" spans="1:6" s="8" customFormat="1">
      <c r="A138" s="545"/>
      <c r="B138" s="259" t="s">
        <v>47</v>
      </c>
      <c r="C138" s="544">
        <v>24.3</v>
      </c>
      <c r="D138" s="543" t="s">
        <v>20</v>
      </c>
      <c r="E138" s="600" t="s">
        <v>18</v>
      </c>
      <c r="F138" s="635"/>
    </row>
    <row r="139" spans="1:6" s="8" customFormat="1">
      <c r="A139" s="545"/>
      <c r="B139" s="259" t="s">
        <v>730</v>
      </c>
      <c r="C139" s="544">
        <v>153.1</v>
      </c>
      <c r="D139" s="543" t="s">
        <v>20</v>
      </c>
      <c r="E139" s="600" t="s">
        <v>18</v>
      </c>
      <c r="F139" s="635"/>
    </row>
    <row r="140" spans="1:6" s="8" customFormat="1">
      <c r="A140" s="545"/>
      <c r="B140" s="259" t="s">
        <v>731</v>
      </c>
      <c r="C140" s="544">
        <v>40.799999999999997</v>
      </c>
      <c r="D140" s="543" t="s">
        <v>15</v>
      </c>
      <c r="E140" s="600" t="s">
        <v>18</v>
      </c>
      <c r="F140" s="635"/>
    </row>
    <row r="141" spans="1:6" s="8" customFormat="1">
      <c r="A141" s="545" t="s">
        <v>29</v>
      </c>
      <c r="B141" s="258" t="s">
        <v>30</v>
      </c>
      <c r="C141" s="546">
        <v>260.60000000000002</v>
      </c>
      <c r="D141" s="599" t="s">
        <v>72</v>
      </c>
      <c r="E141" s="600" t="s">
        <v>9</v>
      </c>
      <c r="F141" s="635"/>
    </row>
    <row r="142" spans="1:6" s="8" customFormat="1">
      <c r="A142" s="545"/>
      <c r="B142" s="259" t="s">
        <v>17</v>
      </c>
      <c r="C142" s="544">
        <v>153</v>
      </c>
      <c r="D142" s="543" t="s">
        <v>15</v>
      </c>
      <c r="E142" s="600" t="s">
        <v>18</v>
      </c>
      <c r="F142" s="635"/>
    </row>
    <row r="143" spans="1:6" s="8" customFormat="1">
      <c r="A143" s="545"/>
      <c r="B143" s="259" t="s">
        <v>14</v>
      </c>
      <c r="C143" s="544">
        <v>29.5</v>
      </c>
      <c r="D143" s="543" t="s">
        <v>20</v>
      </c>
      <c r="E143" s="600" t="s">
        <v>18</v>
      </c>
      <c r="F143" s="635"/>
    </row>
    <row r="144" spans="1:6" s="8" customFormat="1">
      <c r="A144" s="545"/>
      <c r="B144" s="259" t="s">
        <v>47</v>
      </c>
      <c r="C144" s="544">
        <v>24.3</v>
      </c>
      <c r="D144" s="543" t="s">
        <v>20</v>
      </c>
      <c r="E144" s="600" t="s">
        <v>18</v>
      </c>
      <c r="F144" s="635"/>
    </row>
    <row r="145" spans="1:6" s="8" customFormat="1">
      <c r="A145" s="545"/>
      <c r="B145" s="259" t="s">
        <v>45</v>
      </c>
      <c r="C145" s="544">
        <v>8.9</v>
      </c>
      <c r="D145" s="543" t="s">
        <v>15</v>
      </c>
      <c r="E145" s="600" t="s">
        <v>68</v>
      </c>
      <c r="F145" s="635"/>
    </row>
    <row r="146" spans="1:6" s="8" customFormat="1">
      <c r="A146" s="545"/>
      <c r="B146" s="259" t="s">
        <v>19</v>
      </c>
      <c r="C146" s="544">
        <v>14</v>
      </c>
      <c r="D146" s="543" t="s">
        <v>15</v>
      </c>
      <c r="E146" s="600" t="s">
        <v>18</v>
      </c>
      <c r="F146" s="635"/>
    </row>
    <row r="147" spans="1:6" s="8" customFormat="1">
      <c r="A147" s="545"/>
      <c r="B147" s="259" t="s">
        <v>730</v>
      </c>
      <c r="C147" s="544">
        <v>30.9</v>
      </c>
      <c r="D147" s="543" t="s">
        <v>20</v>
      </c>
      <c r="E147" s="600" t="s">
        <v>18</v>
      </c>
      <c r="F147" s="635"/>
    </row>
    <row r="148" spans="1:6" s="8" customFormat="1">
      <c r="A148" s="545"/>
      <c r="B148" s="260" t="s">
        <v>38</v>
      </c>
      <c r="C148" s="25">
        <v>367.8</v>
      </c>
      <c r="D148" s="599" t="s">
        <v>72</v>
      </c>
      <c r="E148" s="600" t="s">
        <v>9</v>
      </c>
      <c r="F148" s="635"/>
    </row>
    <row r="149" spans="1:6" s="8" customFormat="1" ht="25.5">
      <c r="A149" s="545" t="s">
        <v>37</v>
      </c>
      <c r="B149" s="145" t="s">
        <v>467</v>
      </c>
      <c r="C149" s="216">
        <v>105.8</v>
      </c>
      <c r="D149" s="217" t="s">
        <v>15</v>
      </c>
      <c r="E149" s="216" t="s">
        <v>42</v>
      </c>
      <c r="F149" s="635"/>
    </row>
    <row r="150" spans="1:6" s="8" customFormat="1">
      <c r="A150" s="545"/>
      <c r="B150" s="145" t="s">
        <v>39</v>
      </c>
      <c r="C150" s="544">
        <v>59.7</v>
      </c>
      <c r="D150" s="543" t="s">
        <v>20</v>
      </c>
      <c r="E150" s="600" t="s">
        <v>18</v>
      </c>
      <c r="F150" s="635"/>
    </row>
    <row r="151" spans="1:6" s="8" customFormat="1">
      <c r="A151" s="545"/>
      <c r="B151" s="145" t="s">
        <v>21</v>
      </c>
      <c r="C151" s="544">
        <v>2.2000000000000002</v>
      </c>
      <c r="D151" s="543" t="s">
        <v>22</v>
      </c>
      <c r="E151" s="600" t="s">
        <v>18</v>
      </c>
      <c r="F151" s="635"/>
    </row>
    <row r="152" spans="1:6" s="8" customFormat="1">
      <c r="A152" s="545"/>
      <c r="B152" s="145" t="s">
        <v>17</v>
      </c>
      <c r="C152" s="544">
        <v>167.7</v>
      </c>
      <c r="D152" s="543" t="s">
        <v>15</v>
      </c>
      <c r="E152" s="600" t="s">
        <v>18</v>
      </c>
      <c r="F152" s="635"/>
    </row>
    <row r="153" spans="1:6" s="8" customFormat="1">
      <c r="A153" s="13"/>
      <c r="B153" s="271" t="s">
        <v>732</v>
      </c>
      <c r="C153" s="22">
        <v>32.4</v>
      </c>
      <c r="D153" s="42" t="s">
        <v>27</v>
      </c>
      <c r="E153" s="22" t="s">
        <v>18</v>
      </c>
      <c r="F153" s="636"/>
    </row>
    <row r="154" spans="1:6" s="8" customFormat="1">
      <c r="A154" s="639" t="s">
        <v>733</v>
      </c>
      <c r="B154" s="640"/>
      <c r="C154" s="640"/>
      <c r="D154" s="640"/>
      <c r="E154" s="640"/>
      <c r="F154" s="641"/>
    </row>
    <row r="155" spans="1:6" s="8" customFormat="1">
      <c r="A155" s="9">
        <v>12</v>
      </c>
      <c r="B155" s="256" t="s">
        <v>734</v>
      </c>
      <c r="C155" s="452">
        <f>C156+C162+C170+C171+C172</f>
        <v>1109.0000000000002</v>
      </c>
      <c r="D155" s="41"/>
      <c r="E155" s="17"/>
      <c r="F155" s="634" t="s">
        <v>735</v>
      </c>
    </row>
    <row r="156" spans="1:6" s="8" customFormat="1">
      <c r="A156" s="545" t="s">
        <v>11</v>
      </c>
      <c r="B156" s="258" t="s">
        <v>12</v>
      </c>
      <c r="C156" s="546">
        <f>SUM(C157:C161)</f>
        <v>393.6</v>
      </c>
      <c r="D156" s="543" t="s">
        <v>72</v>
      </c>
      <c r="E156" s="600" t="s">
        <v>9</v>
      </c>
      <c r="F156" s="635"/>
    </row>
    <row r="157" spans="1:6" s="8" customFormat="1">
      <c r="A157" s="545"/>
      <c r="B157" s="259" t="s">
        <v>14</v>
      </c>
      <c r="C157" s="544">
        <v>32.9</v>
      </c>
      <c r="D157" s="543" t="s">
        <v>15</v>
      </c>
      <c r="E157" s="600" t="s">
        <v>18</v>
      </c>
      <c r="F157" s="635"/>
    </row>
    <row r="158" spans="1:6" s="8" customFormat="1">
      <c r="A158" s="545"/>
      <c r="B158" s="259" t="s">
        <v>47</v>
      </c>
      <c r="C158" s="544">
        <v>29.3</v>
      </c>
      <c r="D158" s="543" t="s">
        <v>15</v>
      </c>
      <c r="E158" s="600" t="s">
        <v>18</v>
      </c>
      <c r="F158" s="635"/>
    </row>
    <row r="159" spans="1:6" s="8" customFormat="1">
      <c r="A159" s="545"/>
      <c r="B159" s="259" t="s">
        <v>84</v>
      </c>
      <c r="C159" s="544">
        <v>42.2</v>
      </c>
      <c r="D159" s="543" t="s">
        <v>15</v>
      </c>
      <c r="E159" s="600" t="s">
        <v>18</v>
      </c>
      <c r="F159" s="635"/>
    </row>
    <row r="160" spans="1:6" s="8" customFormat="1">
      <c r="A160" s="545"/>
      <c r="B160" s="259" t="s">
        <v>17</v>
      </c>
      <c r="C160" s="544">
        <v>152.69999999999999</v>
      </c>
      <c r="D160" s="543" t="s">
        <v>15</v>
      </c>
      <c r="E160" s="600" t="s">
        <v>18</v>
      </c>
      <c r="F160" s="635"/>
    </row>
    <row r="161" spans="1:6" s="8" customFormat="1">
      <c r="A161" s="545"/>
      <c r="B161" s="259" t="s">
        <v>736</v>
      </c>
      <c r="C161" s="544">
        <v>136.5</v>
      </c>
      <c r="D161" s="543"/>
      <c r="E161" s="600" t="s">
        <v>737</v>
      </c>
      <c r="F161" s="635"/>
    </row>
    <row r="162" spans="1:6" s="8" customFormat="1">
      <c r="A162" s="545" t="s">
        <v>29</v>
      </c>
      <c r="B162" s="258" t="s">
        <v>30</v>
      </c>
      <c r="C162" s="546">
        <v>399.8</v>
      </c>
      <c r="D162" s="543" t="s">
        <v>72</v>
      </c>
      <c r="E162" s="600" t="s">
        <v>9</v>
      </c>
      <c r="F162" s="635"/>
    </row>
    <row r="163" spans="1:6" s="8" customFormat="1">
      <c r="A163" s="545"/>
      <c r="B163" s="259" t="s">
        <v>17</v>
      </c>
      <c r="C163" s="544">
        <v>139.1</v>
      </c>
      <c r="D163" s="543" t="s">
        <v>15</v>
      </c>
      <c r="E163" s="600" t="s">
        <v>18</v>
      </c>
      <c r="F163" s="635"/>
    </row>
    <row r="164" spans="1:6" s="8" customFormat="1">
      <c r="A164" s="545"/>
      <c r="B164" s="259" t="s">
        <v>14</v>
      </c>
      <c r="C164" s="544">
        <v>43.9</v>
      </c>
      <c r="D164" s="543" t="s">
        <v>15</v>
      </c>
      <c r="E164" s="600" t="s">
        <v>18</v>
      </c>
      <c r="F164" s="635"/>
    </row>
    <row r="165" spans="1:6" s="8" customFormat="1">
      <c r="A165" s="545"/>
      <c r="B165" s="259" t="s">
        <v>47</v>
      </c>
      <c r="C165" s="544">
        <v>36.200000000000003</v>
      </c>
      <c r="D165" s="543" t="s">
        <v>20</v>
      </c>
      <c r="E165" s="600" t="s">
        <v>18</v>
      </c>
      <c r="F165" s="635"/>
    </row>
    <row r="166" spans="1:6" s="8" customFormat="1">
      <c r="A166" s="545"/>
      <c r="B166" s="259" t="s">
        <v>36</v>
      </c>
      <c r="C166" s="544">
        <v>88.7</v>
      </c>
      <c r="D166" s="543" t="s">
        <v>15</v>
      </c>
      <c r="E166" s="600" t="s">
        <v>18</v>
      </c>
      <c r="F166" s="635"/>
    </row>
    <row r="167" spans="1:6" s="8" customFormat="1">
      <c r="A167" s="545"/>
      <c r="B167" s="259" t="s">
        <v>21</v>
      </c>
      <c r="C167" s="544">
        <v>9</v>
      </c>
      <c r="D167" s="543" t="s">
        <v>22</v>
      </c>
      <c r="E167" s="600" t="s">
        <v>18</v>
      </c>
      <c r="F167" s="635"/>
    </row>
    <row r="168" spans="1:6" s="8" customFormat="1">
      <c r="A168" s="545"/>
      <c r="B168" s="259"/>
      <c r="C168" s="544"/>
      <c r="D168" s="543" t="s">
        <v>67</v>
      </c>
      <c r="E168" s="600" t="s">
        <v>68</v>
      </c>
      <c r="F168" s="635"/>
    </row>
    <row r="169" spans="1:6" s="8" customFormat="1">
      <c r="A169" s="545" t="s">
        <v>37</v>
      </c>
      <c r="B169" s="298" t="s">
        <v>738</v>
      </c>
      <c r="C169" s="25"/>
      <c r="D169" s="543" t="s">
        <v>72</v>
      </c>
      <c r="E169" s="600" t="s">
        <v>9</v>
      </c>
      <c r="F169" s="635"/>
    </row>
    <row r="170" spans="1:6" s="8" customFormat="1">
      <c r="A170" s="545"/>
      <c r="B170" s="145" t="s">
        <v>36</v>
      </c>
      <c r="C170" s="25">
        <v>247.2</v>
      </c>
      <c r="D170" s="543" t="s">
        <v>20</v>
      </c>
      <c r="E170" s="600" t="s">
        <v>28</v>
      </c>
      <c r="F170" s="635"/>
    </row>
    <row r="171" spans="1:6" s="8" customFormat="1">
      <c r="A171" s="545"/>
      <c r="B171" s="145" t="s">
        <v>739</v>
      </c>
      <c r="C171" s="544">
        <v>59.7</v>
      </c>
      <c r="D171" s="543" t="s">
        <v>20</v>
      </c>
      <c r="E171" s="600" t="s">
        <v>28</v>
      </c>
      <c r="F171" s="635"/>
    </row>
    <row r="172" spans="1:6" s="8" customFormat="1">
      <c r="A172" s="13"/>
      <c r="B172" s="271" t="s">
        <v>47</v>
      </c>
      <c r="C172" s="22">
        <v>8.6999999999999993</v>
      </c>
      <c r="D172" s="42" t="s">
        <v>20</v>
      </c>
      <c r="E172" s="22" t="s">
        <v>28</v>
      </c>
      <c r="F172" s="636"/>
    </row>
    <row r="173" spans="1:6" s="8" customFormat="1">
      <c r="A173" s="545">
        <v>13</v>
      </c>
      <c r="B173" s="263" t="s">
        <v>740</v>
      </c>
      <c r="C173" s="448">
        <f>C174+C181</f>
        <v>221</v>
      </c>
      <c r="D173" s="541"/>
      <c r="E173" s="32"/>
      <c r="F173" s="635" t="s">
        <v>829</v>
      </c>
    </row>
    <row r="174" spans="1:6" s="8" customFormat="1">
      <c r="A174" s="545" t="s">
        <v>11</v>
      </c>
      <c r="B174" s="264" t="s">
        <v>12</v>
      </c>
      <c r="C174" s="11">
        <f>SUM(C175:C180)</f>
        <v>94.699999999999989</v>
      </c>
      <c r="D174" s="543" t="s">
        <v>72</v>
      </c>
      <c r="E174" s="32" t="s">
        <v>9</v>
      </c>
      <c r="F174" s="635"/>
    </row>
    <row r="175" spans="1:6" s="8" customFormat="1">
      <c r="A175" s="545"/>
      <c r="B175" s="265" t="s">
        <v>17</v>
      </c>
      <c r="C175" s="538">
        <v>50.4</v>
      </c>
      <c r="D175" s="543" t="s">
        <v>15</v>
      </c>
      <c r="E175" s="32" t="s">
        <v>18</v>
      </c>
      <c r="F175" s="635"/>
    </row>
    <row r="176" spans="1:6" s="8" customFormat="1">
      <c r="A176" s="545"/>
      <c r="B176" s="265" t="s">
        <v>19</v>
      </c>
      <c r="C176" s="538">
        <v>8.4</v>
      </c>
      <c r="D176" s="543" t="s">
        <v>15</v>
      </c>
      <c r="E176" s="32" t="s">
        <v>18</v>
      </c>
      <c r="F176" s="635"/>
    </row>
    <row r="177" spans="1:6" s="8" customFormat="1">
      <c r="A177" s="545"/>
      <c r="B177" s="265" t="s">
        <v>39</v>
      </c>
      <c r="C177" s="538">
        <v>11.9</v>
      </c>
      <c r="D177" s="543" t="s">
        <v>15</v>
      </c>
      <c r="E177" s="32" t="s">
        <v>18</v>
      </c>
      <c r="F177" s="635"/>
    </row>
    <row r="178" spans="1:6" s="8" customFormat="1">
      <c r="A178" s="545"/>
      <c r="B178" s="266" t="s">
        <v>21</v>
      </c>
      <c r="C178" s="538">
        <v>4.0999999999999996</v>
      </c>
      <c r="D178" s="543" t="s">
        <v>22</v>
      </c>
      <c r="E178" s="32" t="s">
        <v>18</v>
      </c>
      <c r="F178" s="635"/>
    </row>
    <row r="179" spans="1:6" s="8" customFormat="1">
      <c r="A179" s="545"/>
      <c r="B179" s="265" t="s">
        <v>706</v>
      </c>
      <c r="C179" s="538">
        <v>19.899999999999999</v>
      </c>
      <c r="D179" s="543" t="s">
        <v>27</v>
      </c>
      <c r="E179" s="32" t="s">
        <v>68</v>
      </c>
      <c r="F179" s="635"/>
    </row>
    <row r="180" spans="1:6" s="8" customFormat="1">
      <c r="A180" s="13"/>
      <c r="B180" s="267"/>
      <c r="C180" s="547"/>
      <c r="D180" s="42"/>
      <c r="E180" s="91"/>
      <c r="F180" s="635"/>
    </row>
    <row r="181" spans="1:6" s="8" customFormat="1">
      <c r="A181" s="9" t="s">
        <v>29</v>
      </c>
      <c r="B181" s="268" t="s">
        <v>30</v>
      </c>
      <c r="C181" s="44">
        <f>SUM(C182:C185)</f>
        <v>126.3</v>
      </c>
      <c r="D181" s="41" t="s">
        <v>72</v>
      </c>
      <c r="E181" s="7" t="s">
        <v>9</v>
      </c>
      <c r="F181" s="635"/>
    </row>
    <row r="182" spans="1:6" s="8" customFormat="1">
      <c r="A182" s="545"/>
      <c r="B182" s="265" t="s">
        <v>36</v>
      </c>
      <c r="C182" s="538">
        <v>60</v>
      </c>
      <c r="D182" s="543" t="s">
        <v>15</v>
      </c>
      <c r="E182" s="32" t="s">
        <v>18</v>
      </c>
      <c r="F182" s="635"/>
    </row>
    <row r="183" spans="1:6" s="8" customFormat="1">
      <c r="A183" s="545"/>
      <c r="B183" s="265" t="s">
        <v>39</v>
      </c>
      <c r="C183" s="538">
        <v>15.5</v>
      </c>
      <c r="D183" s="543" t="s">
        <v>15</v>
      </c>
      <c r="E183" s="32" t="s">
        <v>18</v>
      </c>
      <c r="F183" s="635"/>
    </row>
    <row r="184" spans="1:6" s="8" customFormat="1">
      <c r="A184" s="545"/>
      <c r="B184" s="265" t="s">
        <v>47</v>
      </c>
      <c r="C184" s="538">
        <v>32.799999999999997</v>
      </c>
      <c r="D184" s="543" t="s">
        <v>15</v>
      </c>
      <c r="E184" s="32" t="s">
        <v>18</v>
      </c>
      <c r="F184" s="635"/>
    </row>
    <row r="185" spans="1:6" s="8" customFormat="1">
      <c r="A185" s="545"/>
      <c r="B185" s="265" t="s">
        <v>706</v>
      </c>
      <c r="C185" s="538">
        <v>18</v>
      </c>
      <c r="D185" s="543" t="s">
        <v>27</v>
      </c>
      <c r="E185" s="32" t="s">
        <v>68</v>
      </c>
      <c r="F185" s="635"/>
    </row>
    <row r="186" spans="1:6" s="8" customFormat="1">
      <c r="A186" s="545"/>
      <c r="B186" s="299"/>
      <c r="C186" s="575">
        <f>C155+C173</f>
        <v>1330.0000000000002</v>
      </c>
      <c r="D186" s="19"/>
      <c r="E186" s="600"/>
      <c r="F186" s="523"/>
    </row>
    <row r="187" spans="1:6" s="8" customFormat="1">
      <c r="A187" s="649" t="s">
        <v>741</v>
      </c>
      <c r="B187" s="650"/>
      <c r="C187" s="650"/>
      <c r="D187" s="650"/>
      <c r="E187" s="650"/>
      <c r="F187" s="651"/>
    </row>
    <row r="188" spans="1:6" s="8" customFormat="1">
      <c r="A188" s="9">
        <v>14</v>
      </c>
      <c r="B188" s="301" t="s">
        <v>742</v>
      </c>
      <c r="C188" s="452">
        <f>SUM(C190,C198,C203,C209:C212,C213,C220,C225,C231,C232)</f>
        <v>2058.3999999999996</v>
      </c>
      <c r="D188" s="540"/>
      <c r="E188" s="17"/>
      <c r="F188" s="634" t="s">
        <v>743</v>
      </c>
    </row>
    <row r="189" spans="1:6" s="8" customFormat="1">
      <c r="A189" s="545"/>
      <c r="B189" s="298"/>
      <c r="C189" s="25">
        <f>C190+C198+C203++C211+C212</f>
        <v>994</v>
      </c>
      <c r="D189" s="541"/>
      <c r="E189" s="600"/>
      <c r="F189" s="635"/>
    </row>
    <row r="190" spans="1:6" s="8" customFormat="1">
      <c r="A190" s="545"/>
      <c r="B190" s="260" t="s">
        <v>744</v>
      </c>
      <c r="C190" s="25">
        <f>SUM(C191:C197)</f>
        <v>366.90000000000003</v>
      </c>
      <c r="D190" s="599" t="s">
        <v>72</v>
      </c>
      <c r="E190" s="32" t="s">
        <v>9</v>
      </c>
      <c r="F190" s="635"/>
    </row>
    <row r="191" spans="1:6" s="8" customFormat="1">
      <c r="A191" s="545"/>
      <c r="B191" s="145" t="s">
        <v>745</v>
      </c>
      <c r="C191" s="101">
        <v>85.6</v>
      </c>
      <c r="D191" s="543" t="s">
        <v>15</v>
      </c>
      <c r="E191" s="600" t="s">
        <v>16</v>
      </c>
      <c r="F191" s="635"/>
    </row>
    <row r="192" spans="1:6" s="8" customFormat="1">
      <c r="A192" s="545"/>
      <c r="B192" s="145" t="s">
        <v>71</v>
      </c>
      <c r="C192" s="544">
        <v>98</v>
      </c>
      <c r="D192" s="543" t="s">
        <v>15</v>
      </c>
      <c r="E192" s="600" t="s">
        <v>18</v>
      </c>
      <c r="F192" s="635"/>
    </row>
    <row r="193" spans="1:6" s="8" customFormat="1">
      <c r="A193" s="545"/>
      <c r="B193" s="145" t="s">
        <v>39</v>
      </c>
      <c r="C193" s="544">
        <v>71</v>
      </c>
      <c r="D193" s="543" t="s">
        <v>27</v>
      </c>
      <c r="E193" s="600" t="s">
        <v>18</v>
      </c>
      <c r="F193" s="635"/>
    </row>
    <row r="194" spans="1:6" s="8" customFormat="1">
      <c r="A194" s="545"/>
      <c r="B194" s="145" t="s">
        <v>21</v>
      </c>
      <c r="C194" s="544">
        <v>9</v>
      </c>
      <c r="D194" s="543" t="s">
        <v>22</v>
      </c>
      <c r="E194" s="600" t="s">
        <v>18</v>
      </c>
      <c r="F194" s="635"/>
    </row>
    <row r="195" spans="1:6" s="8" customFormat="1">
      <c r="A195" s="545"/>
      <c r="B195" s="145" t="s">
        <v>458</v>
      </c>
      <c r="C195" s="544">
        <v>2.9</v>
      </c>
      <c r="D195" s="543" t="s">
        <v>15</v>
      </c>
      <c r="E195" s="600" t="s">
        <v>16</v>
      </c>
      <c r="F195" s="635"/>
    </row>
    <row r="196" spans="1:6" s="8" customFormat="1" ht="25.5">
      <c r="A196" s="545"/>
      <c r="B196" s="145" t="s">
        <v>746</v>
      </c>
      <c r="C196" s="101">
        <v>4.5999999999999996</v>
      </c>
      <c r="D196" s="543" t="s">
        <v>27</v>
      </c>
      <c r="E196" s="600" t="s">
        <v>18</v>
      </c>
      <c r="F196" s="635"/>
    </row>
    <row r="197" spans="1:6" s="8" customFormat="1">
      <c r="A197" s="545"/>
      <c r="B197" s="145" t="s">
        <v>747</v>
      </c>
      <c r="C197" s="544">
        <v>95.8</v>
      </c>
      <c r="D197" s="543" t="s">
        <v>15</v>
      </c>
      <c r="E197" s="600" t="s">
        <v>42</v>
      </c>
      <c r="F197" s="635"/>
    </row>
    <row r="198" spans="1:6" s="8" customFormat="1">
      <c r="A198" s="545">
        <v>2</v>
      </c>
      <c r="B198" s="260" t="s">
        <v>748</v>
      </c>
      <c r="C198" s="546">
        <f>SUM(C199:C202)</f>
        <v>217.6</v>
      </c>
      <c r="D198" s="599" t="s">
        <v>72</v>
      </c>
      <c r="E198" s="32" t="s">
        <v>9</v>
      </c>
      <c r="F198" s="635"/>
    </row>
    <row r="199" spans="1:6" s="8" customFormat="1">
      <c r="A199" s="545"/>
      <c r="B199" s="145" t="s">
        <v>749</v>
      </c>
      <c r="C199" s="300">
        <v>192</v>
      </c>
      <c r="D199" s="543" t="s">
        <v>15</v>
      </c>
      <c r="E199" s="600" t="s">
        <v>42</v>
      </c>
      <c r="F199" s="635"/>
    </row>
    <row r="200" spans="1:6" s="8" customFormat="1">
      <c r="A200" s="545"/>
      <c r="B200" s="145" t="s">
        <v>39</v>
      </c>
      <c r="C200" s="544">
        <v>3.6</v>
      </c>
      <c r="D200" s="543" t="s">
        <v>27</v>
      </c>
      <c r="E200" s="600" t="s">
        <v>18</v>
      </c>
      <c r="F200" s="635"/>
    </row>
    <row r="201" spans="1:6" s="8" customFormat="1">
      <c r="A201" s="545"/>
      <c r="B201" s="145" t="s">
        <v>71</v>
      </c>
      <c r="C201" s="544">
        <v>9.1</v>
      </c>
      <c r="D201" s="543" t="s">
        <v>15</v>
      </c>
      <c r="E201" s="600" t="s">
        <v>28</v>
      </c>
      <c r="F201" s="635"/>
    </row>
    <row r="202" spans="1:6" s="8" customFormat="1">
      <c r="A202" s="545"/>
      <c r="B202" s="145" t="s">
        <v>750</v>
      </c>
      <c r="C202" s="544">
        <v>12.9</v>
      </c>
      <c r="D202" s="543" t="s">
        <v>27</v>
      </c>
      <c r="E202" s="600" t="s">
        <v>18</v>
      </c>
      <c r="F202" s="635"/>
    </row>
    <row r="203" spans="1:6" s="8" customFormat="1">
      <c r="A203" s="545">
        <v>3</v>
      </c>
      <c r="B203" s="260" t="s">
        <v>751</v>
      </c>
      <c r="C203" s="25">
        <f>SUM(C204:C207)</f>
        <v>255.3</v>
      </c>
      <c r="D203" s="599" t="s">
        <v>72</v>
      </c>
      <c r="E203" s="32" t="s">
        <v>9</v>
      </c>
      <c r="F203" s="635"/>
    </row>
    <row r="204" spans="1:6" s="8" customFormat="1">
      <c r="A204" s="545"/>
      <c r="B204" s="145" t="s">
        <v>71</v>
      </c>
      <c r="C204" s="544">
        <v>136.1</v>
      </c>
      <c r="D204" s="543" t="s">
        <v>752</v>
      </c>
      <c r="E204" s="600" t="s">
        <v>18</v>
      </c>
      <c r="F204" s="635"/>
    </row>
    <row r="205" spans="1:6" s="8" customFormat="1">
      <c r="A205" s="545"/>
      <c r="B205" s="145" t="s">
        <v>39</v>
      </c>
      <c r="C205" s="544">
        <v>95.2</v>
      </c>
      <c r="D205" s="543" t="s">
        <v>27</v>
      </c>
      <c r="E205" s="600" t="s">
        <v>18</v>
      </c>
      <c r="F205" s="635"/>
    </row>
    <row r="206" spans="1:6" s="8" customFormat="1">
      <c r="A206" s="545"/>
      <c r="B206" s="145" t="s">
        <v>21</v>
      </c>
      <c r="C206" s="544">
        <v>10.8</v>
      </c>
      <c r="D206" s="543" t="s">
        <v>22</v>
      </c>
      <c r="E206" s="600" t="s">
        <v>18</v>
      </c>
      <c r="F206" s="635"/>
    </row>
    <row r="207" spans="1:6" s="8" customFormat="1">
      <c r="A207" s="545"/>
      <c r="B207" s="145" t="s">
        <v>750</v>
      </c>
      <c r="C207" s="544">
        <v>13.2</v>
      </c>
      <c r="D207" s="543" t="s">
        <v>27</v>
      </c>
      <c r="E207" s="600" t="s">
        <v>150</v>
      </c>
      <c r="F207" s="635"/>
    </row>
    <row r="208" spans="1:6" s="8" customFormat="1">
      <c r="A208" s="545">
        <v>4</v>
      </c>
      <c r="B208" s="257" t="s">
        <v>744</v>
      </c>
      <c r="C208" s="546"/>
      <c r="D208" s="541"/>
      <c r="E208" s="600"/>
      <c r="F208" s="635"/>
    </row>
    <row r="209" spans="1:6" s="8" customFormat="1">
      <c r="A209" s="545"/>
      <c r="B209" s="259" t="s">
        <v>46</v>
      </c>
      <c r="C209" s="544">
        <v>34.299999999999997</v>
      </c>
      <c r="D209" s="543" t="s">
        <v>15</v>
      </c>
      <c r="E209" s="600" t="s">
        <v>42</v>
      </c>
      <c r="F209" s="635"/>
    </row>
    <row r="210" spans="1:6" s="8" customFormat="1">
      <c r="A210" s="545">
        <v>5</v>
      </c>
      <c r="B210" s="258" t="s">
        <v>753</v>
      </c>
      <c r="C210" s="544"/>
      <c r="D210" s="543"/>
      <c r="E210" s="600"/>
      <c r="F210" s="635"/>
    </row>
    <row r="211" spans="1:6" s="8" customFormat="1">
      <c r="A211" s="545"/>
      <c r="B211" s="259" t="s">
        <v>175</v>
      </c>
      <c r="C211" s="544">
        <v>51</v>
      </c>
      <c r="D211" s="543" t="s">
        <v>15</v>
      </c>
      <c r="E211" s="600" t="s">
        <v>150</v>
      </c>
      <c r="F211" s="635"/>
    </row>
    <row r="212" spans="1:6" s="8" customFormat="1">
      <c r="A212" s="545">
        <v>6</v>
      </c>
      <c r="B212" s="259" t="s">
        <v>754</v>
      </c>
      <c r="C212" s="544">
        <v>103.2</v>
      </c>
      <c r="D212" s="543" t="s">
        <v>27</v>
      </c>
      <c r="E212" s="600" t="s">
        <v>28</v>
      </c>
      <c r="F212" s="635"/>
    </row>
    <row r="213" spans="1:6" s="8" customFormat="1">
      <c r="A213" s="9" t="s">
        <v>822</v>
      </c>
      <c r="B213" s="270" t="s">
        <v>755</v>
      </c>
      <c r="C213" s="45">
        <f>SUM(C214:C219)</f>
        <v>323.2</v>
      </c>
      <c r="D213" s="41"/>
      <c r="E213" s="17"/>
      <c r="F213" s="634" t="s">
        <v>756</v>
      </c>
    </row>
    <row r="214" spans="1:6" s="8" customFormat="1">
      <c r="A214" s="545"/>
      <c r="B214" s="259" t="s">
        <v>105</v>
      </c>
      <c r="C214" s="544">
        <v>35</v>
      </c>
      <c r="D214" s="543" t="s">
        <v>15</v>
      </c>
      <c r="E214" s="600" t="s">
        <v>18</v>
      </c>
      <c r="F214" s="635"/>
    </row>
    <row r="215" spans="1:6" s="8" customFormat="1">
      <c r="A215" s="545"/>
      <c r="B215" s="259" t="s">
        <v>71</v>
      </c>
      <c r="C215" s="544">
        <v>40.200000000000003</v>
      </c>
      <c r="D215" s="543" t="s">
        <v>15</v>
      </c>
      <c r="E215" s="600" t="s">
        <v>42</v>
      </c>
      <c r="F215" s="635"/>
    </row>
    <row r="216" spans="1:6" s="8" customFormat="1">
      <c r="A216" s="545"/>
      <c r="B216" s="259" t="s">
        <v>458</v>
      </c>
      <c r="C216" s="544">
        <v>7.5</v>
      </c>
      <c r="D216" s="543" t="s">
        <v>27</v>
      </c>
      <c r="E216" s="600" t="s">
        <v>18</v>
      </c>
      <c r="F216" s="635"/>
    </row>
    <row r="217" spans="1:6" s="8" customFormat="1">
      <c r="A217" s="545"/>
      <c r="B217" s="259" t="s">
        <v>21</v>
      </c>
      <c r="C217" s="544">
        <v>7.6</v>
      </c>
      <c r="D217" s="543" t="s">
        <v>22</v>
      </c>
      <c r="E217" s="600" t="s">
        <v>18</v>
      </c>
      <c r="F217" s="635"/>
    </row>
    <row r="218" spans="1:6" s="8" customFormat="1">
      <c r="A218" s="545"/>
      <c r="B218" s="259" t="s">
        <v>39</v>
      </c>
      <c r="C218" s="544">
        <v>76.7</v>
      </c>
      <c r="D218" s="543" t="s">
        <v>27</v>
      </c>
      <c r="E218" s="600" t="s">
        <v>18</v>
      </c>
      <c r="F218" s="635"/>
    </row>
    <row r="219" spans="1:6" s="8" customFormat="1">
      <c r="A219" s="545"/>
      <c r="B219" s="259" t="s">
        <v>71</v>
      </c>
      <c r="C219" s="544">
        <v>156.19999999999999</v>
      </c>
      <c r="D219" s="543" t="s">
        <v>15</v>
      </c>
      <c r="E219" s="600" t="s">
        <v>150</v>
      </c>
      <c r="F219" s="635"/>
    </row>
    <row r="220" spans="1:6" s="8" customFormat="1">
      <c r="A220" s="545" t="s">
        <v>29</v>
      </c>
      <c r="B220" s="258" t="s">
        <v>757</v>
      </c>
      <c r="C220" s="546">
        <f>SUM(C221:C224)</f>
        <v>392.19999999999993</v>
      </c>
      <c r="D220" s="599" t="s">
        <v>72</v>
      </c>
      <c r="E220" s="32" t="s">
        <v>9</v>
      </c>
      <c r="F220" s="635"/>
    </row>
    <row r="221" spans="1:6" s="8" customFormat="1">
      <c r="A221" s="545"/>
      <c r="B221" s="259" t="s">
        <v>758</v>
      </c>
      <c r="C221" s="544">
        <v>261.3</v>
      </c>
      <c r="D221" s="543" t="s">
        <v>15</v>
      </c>
      <c r="E221" s="600" t="s">
        <v>18</v>
      </c>
      <c r="F221" s="635"/>
    </row>
    <row r="222" spans="1:6" s="8" customFormat="1">
      <c r="A222" s="545"/>
      <c r="B222" s="259" t="s">
        <v>14</v>
      </c>
      <c r="C222" s="544">
        <v>57.4</v>
      </c>
      <c r="D222" s="543" t="s">
        <v>27</v>
      </c>
      <c r="E222" s="600" t="s">
        <v>18</v>
      </c>
      <c r="F222" s="635"/>
    </row>
    <row r="223" spans="1:6" s="8" customFormat="1">
      <c r="A223" s="545"/>
      <c r="B223" s="259" t="s">
        <v>105</v>
      </c>
      <c r="C223" s="544">
        <v>67.599999999999994</v>
      </c>
      <c r="D223" s="543" t="s">
        <v>15</v>
      </c>
      <c r="E223" s="600" t="s">
        <v>150</v>
      </c>
      <c r="F223" s="635"/>
    </row>
    <row r="224" spans="1:6" s="8" customFormat="1">
      <c r="A224" s="545"/>
      <c r="B224" s="259" t="s">
        <v>104</v>
      </c>
      <c r="C224" s="544">
        <v>5.9</v>
      </c>
      <c r="D224" s="543" t="s">
        <v>22</v>
      </c>
      <c r="E224" s="600" t="s">
        <v>18</v>
      </c>
      <c r="F224" s="635"/>
    </row>
    <row r="225" spans="1:6" s="8" customFormat="1">
      <c r="A225" s="545" t="s">
        <v>37</v>
      </c>
      <c r="B225" s="260" t="s">
        <v>759</v>
      </c>
      <c r="C225" s="546">
        <f>SUM(C226:C230)</f>
        <v>262.7</v>
      </c>
      <c r="D225" s="599" t="s">
        <v>72</v>
      </c>
      <c r="E225" s="32" t="s">
        <v>9</v>
      </c>
      <c r="F225" s="635"/>
    </row>
    <row r="226" spans="1:6" s="8" customFormat="1">
      <c r="A226" s="545"/>
      <c r="B226" s="259" t="s">
        <v>14</v>
      </c>
      <c r="C226" s="544">
        <v>52.6</v>
      </c>
      <c r="D226" s="543" t="s">
        <v>27</v>
      </c>
      <c r="E226" s="600" t="s">
        <v>18</v>
      </c>
      <c r="F226" s="635"/>
    </row>
    <row r="227" spans="1:6" s="8" customFormat="1">
      <c r="A227" s="545"/>
      <c r="B227" s="259" t="s">
        <v>71</v>
      </c>
      <c r="C227" s="544">
        <v>39.6</v>
      </c>
      <c r="D227" s="543" t="s">
        <v>15</v>
      </c>
      <c r="E227" s="600" t="s">
        <v>18</v>
      </c>
      <c r="F227" s="635"/>
    </row>
    <row r="228" spans="1:6" s="8" customFormat="1">
      <c r="A228" s="545"/>
      <c r="B228" s="259" t="s">
        <v>71</v>
      </c>
      <c r="C228" s="544">
        <v>49.5</v>
      </c>
      <c r="D228" s="543" t="s">
        <v>15</v>
      </c>
      <c r="E228" s="600" t="s">
        <v>42</v>
      </c>
      <c r="F228" s="635"/>
    </row>
    <row r="229" spans="1:6" s="8" customFormat="1">
      <c r="A229" s="545"/>
      <c r="B229" s="259" t="s">
        <v>71</v>
      </c>
      <c r="C229" s="544">
        <v>17.8</v>
      </c>
      <c r="D229" s="543" t="s">
        <v>15</v>
      </c>
      <c r="E229" s="600" t="s">
        <v>28</v>
      </c>
      <c r="F229" s="635"/>
    </row>
    <row r="230" spans="1:6" s="8" customFormat="1">
      <c r="A230" s="545"/>
      <c r="B230" s="259" t="s">
        <v>760</v>
      </c>
      <c r="C230" s="544">
        <v>103.2</v>
      </c>
      <c r="D230" s="543" t="s">
        <v>27</v>
      </c>
      <c r="E230" s="600" t="s">
        <v>18</v>
      </c>
      <c r="F230" s="635"/>
    </row>
    <row r="231" spans="1:6" s="8" customFormat="1">
      <c r="A231" s="545" t="s">
        <v>81</v>
      </c>
      <c r="B231" s="258" t="s">
        <v>761</v>
      </c>
      <c r="C231" s="546"/>
      <c r="D231" s="543"/>
      <c r="E231" s="600"/>
      <c r="F231" s="635"/>
    </row>
    <row r="232" spans="1:6" s="8" customFormat="1">
      <c r="A232" s="13"/>
      <c r="B232" s="269" t="s">
        <v>762</v>
      </c>
      <c r="C232" s="302">
        <v>52</v>
      </c>
      <c r="D232" s="42" t="s">
        <v>15</v>
      </c>
      <c r="E232" s="22" t="s">
        <v>18</v>
      </c>
      <c r="F232" s="636"/>
    </row>
    <row r="233" spans="1:6" s="8" customFormat="1">
      <c r="A233" s="545"/>
      <c r="B233" s="252"/>
      <c r="C233" s="300"/>
      <c r="D233" s="19"/>
      <c r="E233" s="600"/>
      <c r="F233" s="523"/>
    </row>
    <row r="234" spans="1:6" s="8" customFormat="1">
      <c r="A234" s="639" t="s">
        <v>763</v>
      </c>
      <c r="B234" s="640"/>
      <c r="C234" s="640"/>
      <c r="D234" s="640"/>
      <c r="E234" s="640"/>
      <c r="F234" s="641"/>
    </row>
    <row r="235" spans="1:6" s="8" customFormat="1">
      <c r="A235" s="9">
        <v>16</v>
      </c>
      <c r="B235" s="256" t="s">
        <v>764</v>
      </c>
      <c r="C235" s="445">
        <v>989</v>
      </c>
      <c r="D235" s="540"/>
      <c r="E235" s="17"/>
      <c r="F235" s="634" t="s">
        <v>765</v>
      </c>
    </row>
    <row r="236" spans="1:6" s="8" customFormat="1">
      <c r="A236" s="545" t="s">
        <v>11</v>
      </c>
      <c r="B236" s="258" t="s">
        <v>12</v>
      </c>
      <c r="C236" s="546">
        <v>414.5</v>
      </c>
      <c r="D236" s="599" t="s">
        <v>72</v>
      </c>
      <c r="E236" s="32" t="s">
        <v>9</v>
      </c>
      <c r="F236" s="635"/>
    </row>
    <row r="237" spans="1:6" s="8" customFormat="1">
      <c r="A237" s="545"/>
      <c r="B237" s="259" t="s">
        <v>17</v>
      </c>
      <c r="C237" s="544">
        <v>186.4</v>
      </c>
      <c r="D237" s="543" t="s">
        <v>15</v>
      </c>
      <c r="E237" s="600" t="s">
        <v>18</v>
      </c>
      <c r="F237" s="635"/>
    </row>
    <row r="238" spans="1:6" s="8" customFormat="1">
      <c r="A238" s="545"/>
      <c r="B238" s="259" t="s">
        <v>14</v>
      </c>
      <c r="C238" s="544">
        <v>61.1</v>
      </c>
      <c r="D238" s="543" t="s">
        <v>15</v>
      </c>
      <c r="E238" s="600" t="s">
        <v>18</v>
      </c>
      <c r="F238" s="635"/>
    </row>
    <row r="239" spans="1:6" s="8" customFormat="1">
      <c r="A239" s="545"/>
      <c r="B239" s="259" t="s">
        <v>766</v>
      </c>
      <c r="C239" s="544">
        <v>15.4</v>
      </c>
      <c r="D239" s="543" t="s">
        <v>15</v>
      </c>
      <c r="E239" s="600" t="s">
        <v>18</v>
      </c>
      <c r="F239" s="635"/>
    </row>
    <row r="240" spans="1:6" s="8" customFormat="1">
      <c r="A240" s="545"/>
      <c r="B240" s="259" t="s">
        <v>36</v>
      </c>
      <c r="C240" s="544">
        <v>148.6</v>
      </c>
      <c r="D240" s="543" t="s">
        <v>20</v>
      </c>
      <c r="E240" s="600" t="s">
        <v>150</v>
      </c>
      <c r="F240" s="635"/>
    </row>
    <row r="241" spans="1:6" s="8" customFormat="1">
      <c r="A241" s="545"/>
      <c r="B241" s="259" t="s">
        <v>104</v>
      </c>
      <c r="C241" s="544">
        <v>3</v>
      </c>
      <c r="D241" s="543" t="s">
        <v>22</v>
      </c>
      <c r="E241" s="600" t="s">
        <v>18</v>
      </c>
      <c r="F241" s="635"/>
    </row>
    <row r="242" spans="1:6" s="8" customFormat="1">
      <c r="A242" s="545"/>
      <c r="B242" s="145" t="s">
        <v>767</v>
      </c>
      <c r="C242" s="544">
        <v>3</v>
      </c>
      <c r="D242" s="543" t="s">
        <v>22</v>
      </c>
      <c r="E242" s="600" t="s">
        <v>18</v>
      </c>
      <c r="F242" s="635"/>
    </row>
    <row r="243" spans="1:6" s="8" customFormat="1">
      <c r="A243" s="545"/>
      <c r="B243" s="145"/>
      <c r="C243" s="544"/>
      <c r="D243" s="543" t="s">
        <v>67</v>
      </c>
      <c r="E243" s="600" t="s">
        <v>68</v>
      </c>
      <c r="F243" s="635"/>
    </row>
    <row r="244" spans="1:6" s="8" customFormat="1">
      <c r="A244" s="545" t="s">
        <v>29</v>
      </c>
      <c r="B244" s="258" t="s">
        <v>30</v>
      </c>
      <c r="C244" s="546">
        <v>210.5</v>
      </c>
      <c r="D244" s="599" t="s">
        <v>72</v>
      </c>
      <c r="E244" s="32" t="s">
        <v>9</v>
      </c>
      <c r="F244" s="635"/>
    </row>
    <row r="245" spans="1:6" s="8" customFormat="1">
      <c r="A245" s="545"/>
      <c r="B245" s="259" t="s">
        <v>17</v>
      </c>
      <c r="C245" s="544">
        <v>85.6</v>
      </c>
      <c r="D245" s="543" t="s">
        <v>15</v>
      </c>
      <c r="E245" s="600" t="s">
        <v>18</v>
      </c>
      <c r="F245" s="635"/>
    </row>
    <row r="246" spans="1:6" s="8" customFormat="1">
      <c r="A246" s="545"/>
      <c r="B246" s="259" t="s">
        <v>14</v>
      </c>
      <c r="C246" s="544">
        <v>24.2</v>
      </c>
      <c r="D246" s="543" t="s">
        <v>15</v>
      </c>
      <c r="E246" s="600" t="s">
        <v>18</v>
      </c>
      <c r="F246" s="635"/>
    </row>
    <row r="247" spans="1:6" s="8" customFormat="1">
      <c r="A247" s="545"/>
      <c r="B247" s="259" t="s">
        <v>47</v>
      </c>
      <c r="C247" s="544">
        <v>18</v>
      </c>
      <c r="D247" s="543" t="s">
        <v>20</v>
      </c>
      <c r="E247" s="600" t="s">
        <v>18</v>
      </c>
      <c r="F247" s="635"/>
    </row>
    <row r="248" spans="1:6" s="8" customFormat="1">
      <c r="A248" s="545"/>
      <c r="B248" s="259" t="s">
        <v>36</v>
      </c>
      <c r="C248" s="544">
        <v>82.7</v>
      </c>
      <c r="D248" s="543" t="s">
        <v>15</v>
      </c>
      <c r="E248" s="600" t="s">
        <v>18</v>
      </c>
      <c r="F248" s="635"/>
    </row>
    <row r="249" spans="1:6" s="8" customFormat="1">
      <c r="A249" s="655" t="s">
        <v>37</v>
      </c>
      <c r="B249" s="258" t="s">
        <v>38</v>
      </c>
      <c r="C249" s="546">
        <v>364</v>
      </c>
      <c r="D249" s="599" t="s">
        <v>72</v>
      </c>
      <c r="E249" s="32" t="s">
        <v>9</v>
      </c>
      <c r="F249" s="635"/>
    </row>
    <row r="250" spans="1:6" s="8" customFormat="1">
      <c r="A250" s="655"/>
      <c r="B250" s="259" t="s">
        <v>17</v>
      </c>
      <c r="C250" s="544">
        <v>48.4</v>
      </c>
      <c r="D250" s="543" t="s">
        <v>15</v>
      </c>
      <c r="E250" s="600" t="s">
        <v>42</v>
      </c>
      <c r="F250" s="635"/>
    </row>
    <row r="251" spans="1:6" s="8" customFormat="1">
      <c r="A251" s="655"/>
      <c r="B251" s="259" t="s">
        <v>14</v>
      </c>
      <c r="C251" s="544">
        <v>59.6</v>
      </c>
      <c r="D251" s="543" t="s">
        <v>15</v>
      </c>
      <c r="E251" s="600" t="s">
        <v>42</v>
      </c>
      <c r="F251" s="635"/>
    </row>
    <row r="252" spans="1:6" s="8" customFormat="1">
      <c r="A252" s="655"/>
      <c r="B252" s="259" t="s">
        <v>47</v>
      </c>
      <c r="C252" s="544">
        <v>15.4</v>
      </c>
      <c r="D252" s="543" t="s">
        <v>20</v>
      </c>
      <c r="E252" s="600" t="s">
        <v>42</v>
      </c>
      <c r="F252" s="635"/>
    </row>
    <row r="253" spans="1:6" s="8" customFormat="1">
      <c r="A253" s="656"/>
      <c r="B253" s="269" t="s">
        <v>36</v>
      </c>
      <c r="C253" s="22">
        <v>240.6</v>
      </c>
      <c r="D253" s="42" t="s">
        <v>15</v>
      </c>
      <c r="E253" s="22" t="s">
        <v>42</v>
      </c>
      <c r="F253" s="636"/>
    </row>
    <row r="254" spans="1:6" s="8" customFormat="1">
      <c r="A254" s="639" t="s">
        <v>768</v>
      </c>
      <c r="B254" s="640"/>
      <c r="C254" s="640"/>
      <c r="D254" s="640"/>
      <c r="E254" s="640"/>
      <c r="F254" s="641"/>
    </row>
    <row r="255" spans="1:6" s="8" customFormat="1">
      <c r="A255" s="9">
        <v>17</v>
      </c>
      <c r="B255" s="256" t="s">
        <v>769</v>
      </c>
      <c r="C255" s="445">
        <f>SUM(C256+C261)</f>
        <v>570.29999999999995</v>
      </c>
      <c r="D255" s="540"/>
      <c r="E255" s="17"/>
      <c r="F255" s="634" t="s">
        <v>770</v>
      </c>
    </row>
    <row r="256" spans="1:6" s="8" customFormat="1">
      <c r="A256" s="545" t="s">
        <v>11</v>
      </c>
      <c r="B256" s="258" t="s">
        <v>12</v>
      </c>
      <c r="C256" s="546">
        <f>SUM(C257:C260)</f>
        <v>194.5</v>
      </c>
      <c r="D256" s="599" t="s">
        <v>72</v>
      </c>
      <c r="E256" s="32" t="s">
        <v>9</v>
      </c>
      <c r="F256" s="635"/>
    </row>
    <row r="257" spans="1:6" s="8" customFormat="1">
      <c r="A257" s="545"/>
      <c r="B257" s="259" t="s">
        <v>14</v>
      </c>
      <c r="C257" s="544">
        <v>60.9</v>
      </c>
      <c r="D257" s="543" t="s">
        <v>15</v>
      </c>
      <c r="E257" s="600" t="s">
        <v>16</v>
      </c>
      <c r="F257" s="635"/>
    </row>
    <row r="258" spans="1:6" s="8" customFormat="1">
      <c r="A258" s="545"/>
      <c r="B258" s="259" t="s">
        <v>17</v>
      </c>
      <c r="C258" s="544">
        <v>64.7</v>
      </c>
      <c r="D258" s="543" t="s">
        <v>20</v>
      </c>
      <c r="E258" s="600" t="s">
        <v>16</v>
      </c>
      <c r="F258" s="635"/>
    </row>
    <row r="259" spans="1:6" s="8" customFormat="1">
      <c r="A259" s="545"/>
      <c r="B259" s="259" t="s">
        <v>771</v>
      </c>
      <c r="C259" s="544">
        <v>21.2</v>
      </c>
      <c r="D259" s="543" t="s">
        <v>15</v>
      </c>
      <c r="E259" s="600" t="s">
        <v>16</v>
      </c>
      <c r="F259" s="635"/>
    </row>
    <row r="260" spans="1:6" s="8" customFormat="1">
      <c r="A260" s="545"/>
      <c r="B260" s="259" t="s">
        <v>36</v>
      </c>
      <c r="C260" s="544">
        <v>47.7</v>
      </c>
      <c r="D260" s="543" t="s">
        <v>15</v>
      </c>
      <c r="E260" s="600" t="s">
        <v>493</v>
      </c>
      <c r="F260" s="635"/>
    </row>
    <row r="261" spans="1:6" s="8" customFormat="1">
      <c r="A261" s="545" t="s">
        <v>29</v>
      </c>
      <c r="B261" s="258" t="s">
        <v>30</v>
      </c>
      <c r="C261" s="546">
        <f>SUM(C262:C267)</f>
        <v>375.8</v>
      </c>
      <c r="D261" s="599" t="s">
        <v>72</v>
      </c>
      <c r="E261" s="32" t="s">
        <v>9</v>
      </c>
      <c r="F261" s="635"/>
    </row>
    <row r="262" spans="1:6" s="8" customFormat="1">
      <c r="A262" s="545"/>
      <c r="B262" s="259" t="s">
        <v>17</v>
      </c>
      <c r="C262" s="544">
        <v>76.7</v>
      </c>
      <c r="D262" s="543" t="s">
        <v>15</v>
      </c>
      <c r="E262" s="600" t="s">
        <v>16</v>
      </c>
      <c r="F262" s="635"/>
    </row>
    <row r="263" spans="1:6" s="8" customFormat="1">
      <c r="A263" s="545"/>
      <c r="B263" s="259" t="s">
        <v>14</v>
      </c>
      <c r="C263" s="544">
        <v>17.3</v>
      </c>
      <c r="D263" s="543" t="s">
        <v>15</v>
      </c>
      <c r="E263" s="600" t="s">
        <v>16</v>
      </c>
      <c r="F263" s="635"/>
    </row>
    <row r="264" spans="1:6" s="8" customFormat="1">
      <c r="A264" s="545"/>
      <c r="B264" s="259" t="s">
        <v>772</v>
      </c>
      <c r="C264" s="544">
        <v>13.9</v>
      </c>
      <c r="D264" s="543" t="s">
        <v>20</v>
      </c>
      <c r="E264" s="600" t="s">
        <v>16</v>
      </c>
      <c r="F264" s="635"/>
    </row>
    <row r="265" spans="1:6" s="8" customFormat="1">
      <c r="A265" s="545"/>
      <c r="B265" s="259" t="s">
        <v>36</v>
      </c>
      <c r="C265" s="544">
        <v>14.3</v>
      </c>
      <c r="D265" s="543" t="s">
        <v>15</v>
      </c>
      <c r="E265" s="600" t="s">
        <v>493</v>
      </c>
      <c r="F265" s="635"/>
    </row>
    <row r="266" spans="1:6" s="8" customFormat="1">
      <c r="A266" s="545"/>
      <c r="B266" s="259" t="s">
        <v>75</v>
      </c>
      <c r="C266" s="544">
        <v>47.3</v>
      </c>
      <c r="D266" s="543" t="s">
        <v>22</v>
      </c>
      <c r="E266" s="600" t="s">
        <v>342</v>
      </c>
      <c r="F266" s="635"/>
    </row>
    <row r="267" spans="1:6" s="8" customFormat="1">
      <c r="A267" s="13"/>
      <c r="B267" s="269" t="s">
        <v>535</v>
      </c>
      <c r="C267" s="22">
        <v>206.3</v>
      </c>
      <c r="D267" s="42" t="s">
        <v>20</v>
      </c>
      <c r="E267" s="22" t="s">
        <v>368</v>
      </c>
      <c r="F267" s="636"/>
    </row>
    <row r="268" spans="1:6" s="8" customFormat="1">
      <c r="A268" s="639" t="s">
        <v>773</v>
      </c>
      <c r="B268" s="640"/>
      <c r="C268" s="640"/>
      <c r="D268" s="640"/>
      <c r="E268" s="640"/>
      <c r="F268" s="641"/>
    </row>
    <row r="269" spans="1:6" s="8" customFormat="1">
      <c r="A269" s="184">
        <v>18</v>
      </c>
      <c r="B269" s="245" t="s">
        <v>774</v>
      </c>
      <c r="C269" s="218">
        <f>C289+C298+C281+C270</f>
        <v>3897.1</v>
      </c>
      <c r="D269" s="175"/>
      <c r="E269" s="178"/>
      <c r="F269" s="652" t="s">
        <v>775</v>
      </c>
    </row>
    <row r="270" spans="1:6" s="8" customFormat="1">
      <c r="A270" s="185"/>
      <c r="B270" s="246" t="s">
        <v>12</v>
      </c>
      <c r="C270" s="553">
        <v>1224.9000000000001</v>
      </c>
      <c r="D270" s="599" t="s">
        <v>72</v>
      </c>
      <c r="E270" s="32" t="s">
        <v>9</v>
      </c>
      <c r="F270" s="653"/>
    </row>
    <row r="271" spans="1:6" s="8" customFormat="1">
      <c r="A271" s="185"/>
      <c r="B271" s="247" t="s">
        <v>372</v>
      </c>
      <c r="C271" s="179">
        <v>183.1</v>
      </c>
      <c r="D271" s="163" t="s">
        <v>15</v>
      </c>
      <c r="E271" s="151" t="s">
        <v>16</v>
      </c>
      <c r="F271" s="653"/>
    </row>
    <row r="272" spans="1:6" s="8" customFormat="1">
      <c r="A272" s="185"/>
      <c r="B272" s="247" t="s">
        <v>24</v>
      </c>
      <c r="C272" s="179">
        <v>98.2</v>
      </c>
      <c r="D272" s="163" t="s">
        <v>15</v>
      </c>
      <c r="E272" s="151" t="s">
        <v>42</v>
      </c>
      <c r="F272" s="653"/>
    </row>
    <row r="273" spans="1:6" s="8" customFormat="1">
      <c r="A273" s="185"/>
      <c r="B273" s="247" t="s">
        <v>537</v>
      </c>
      <c r="C273" s="179">
        <v>10.7</v>
      </c>
      <c r="D273" s="163" t="s">
        <v>22</v>
      </c>
      <c r="E273" s="151" t="s">
        <v>18</v>
      </c>
      <c r="F273" s="653"/>
    </row>
    <row r="274" spans="1:6" s="8" customFormat="1">
      <c r="A274" s="185"/>
      <c r="B274" s="247" t="s">
        <v>416</v>
      </c>
      <c r="C274" s="179">
        <v>82.5</v>
      </c>
      <c r="D274" s="163" t="s">
        <v>15</v>
      </c>
      <c r="E274" s="151" t="s">
        <v>9</v>
      </c>
      <c r="F274" s="653"/>
    </row>
    <row r="275" spans="1:6" s="8" customFormat="1">
      <c r="A275" s="185"/>
      <c r="B275" s="259" t="s">
        <v>71</v>
      </c>
      <c r="C275" s="179">
        <v>212.9</v>
      </c>
      <c r="D275" s="163" t="s">
        <v>15</v>
      </c>
      <c r="E275" s="151" t="s">
        <v>18</v>
      </c>
      <c r="F275" s="653"/>
    </row>
    <row r="276" spans="1:6" s="8" customFormat="1">
      <c r="A276" s="185"/>
      <c r="B276" s="131" t="s">
        <v>36</v>
      </c>
      <c r="C276" s="179">
        <v>287.3</v>
      </c>
      <c r="D276" s="163" t="s">
        <v>15</v>
      </c>
      <c r="E276" s="151" t="s">
        <v>18</v>
      </c>
      <c r="F276" s="653"/>
    </row>
    <row r="277" spans="1:6" s="8" customFormat="1">
      <c r="A277" s="185"/>
      <c r="B277" s="247" t="s">
        <v>776</v>
      </c>
      <c r="C277" s="179">
        <v>195.4</v>
      </c>
      <c r="D277" s="163" t="s">
        <v>15</v>
      </c>
      <c r="E277" s="151" t="s">
        <v>28</v>
      </c>
      <c r="F277" s="653"/>
    </row>
    <row r="278" spans="1:6" s="8" customFormat="1">
      <c r="A278" s="185"/>
      <c r="B278" s="247" t="s">
        <v>39</v>
      </c>
      <c r="C278" s="179">
        <v>89.7</v>
      </c>
      <c r="D278" s="163" t="s">
        <v>15</v>
      </c>
      <c r="E278" s="151" t="s">
        <v>18</v>
      </c>
      <c r="F278" s="653"/>
    </row>
    <row r="279" spans="1:6" s="8" customFormat="1">
      <c r="A279" s="185"/>
      <c r="B279" s="247" t="s">
        <v>47</v>
      </c>
      <c r="C279" s="179">
        <v>35.5</v>
      </c>
      <c r="D279" s="163" t="s">
        <v>15</v>
      </c>
      <c r="E279" s="151" t="s">
        <v>18</v>
      </c>
      <c r="F279" s="653"/>
    </row>
    <row r="280" spans="1:6" s="8" customFormat="1">
      <c r="A280" s="186"/>
      <c r="B280" s="254" t="s">
        <v>36</v>
      </c>
      <c r="C280" s="90">
        <v>29.6</v>
      </c>
      <c r="D280" s="94" t="s">
        <v>15</v>
      </c>
      <c r="E280" s="153" t="s">
        <v>18</v>
      </c>
      <c r="F280" s="654"/>
    </row>
    <row r="281" spans="1:6" s="8" customFormat="1">
      <c r="A281" s="185">
        <v>19</v>
      </c>
      <c r="B281" s="250" t="s">
        <v>777</v>
      </c>
      <c r="C281" s="553">
        <v>870.2</v>
      </c>
      <c r="D281" s="41" t="s">
        <v>72</v>
      </c>
      <c r="E281" s="7" t="s">
        <v>9</v>
      </c>
      <c r="F281" s="113"/>
    </row>
    <row r="282" spans="1:6" s="8" customFormat="1">
      <c r="A282" s="185"/>
      <c r="B282" s="131" t="s">
        <v>21</v>
      </c>
      <c r="C282" s="179">
        <v>9</v>
      </c>
      <c r="D282" s="163" t="s">
        <v>22</v>
      </c>
      <c r="E282" s="151" t="s">
        <v>18</v>
      </c>
      <c r="F282" s="113"/>
    </row>
    <row r="283" spans="1:6" s="8" customFormat="1">
      <c r="A283" s="180"/>
      <c r="B283" s="259" t="s">
        <v>71</v>
      </c>
      <c r="C283" s="151">
        <v>177.8</v>
      </c>
      <c r="D283" s="163" t="s">
        <v>15</v>
      </c>
      <c r="E283" s="151" t="s">
        <v>18</v>
      </c>
      <c r="F283" s="113"/>
    </row>
    <row r="284" spans="1:6" s="8" customFormat="1">
      <c r="A284" s="185"/>
      <c r="B284" s="131" t="s">
        <v>36</v>
      </c>
      <c r="C284" s="179">
        <v>587.1</v>
      </c>
      <c r="D284" s="163" t="s">
        <v>15</v>
      </c>
      <c r="E284" s="151" t="s">
        <v>18</v>
      </c>
      <c r="F284" s="531" t="s">
        <v>830</v>
      </c>
    </row>
    <row r="285" spans="1:6" s="8" customFormat="1">
      <c r="A285" s="185"/>
      <c r="B285" s="131" t="s">
        <v>39</v>
      </c>
      <c r="C285" s="179">
        <v>37</v>
      </c>
      <c r="D285" s="163" t="s">
        <v>15</v>
      </c>
      <c r="E285" s="151" t="s">
        <v>18</v>
      </c>
      <c r="F285" s="113"/>
    </row>
    <row r="286" spans="1:6" s="8" customFormat="1">
      <c r="A286" s="185"/>
      <c r="B286" s="131" t="s">
        <v>39</v>
      </c>
      <c r="C286" s="179">
        <v>28.3</v>
      </c>
      <c r="D286" s="163" t="s">
        <v>15</v>
      </c>
      <c r="E286" s="151" t="s">
        <v>18</v>
      </c>
      <c r="F286" s="113"/>
    </row>
    <row r="287" spans="1:6" s="8" customFormat="1">
      <c r="A287" s="185"/>
      <c r="B287" s="247" t="s">
        <v>47</v>
      </c>
      <c r="C287" s="179">
        <v>26.5</v>
      </c>
      <c r="D287" s="163" t="s">
        <v>15</v>
      </c>
      <c r="E287" s="151" t="s">
        <v>18</v>
      </c>
      <c r="F287" s="113"/>
    </row>
    <row r="288" spans="1:6" s="8" customFormat="1">
      <c r="A288" s="186"/>
      <c r="B288" s="247" t="s">
        <v>706</v>
      </c>
      <c r="C288" s="90">
        <v>4.5</v>
      </c>
      <c r="D288" s="94" t="s">
        <v>15</v>
      </c>
      <c r="E288" s="151" t="s">
        <v>18</v>
      </c>
      <c r="F288" s="116"/>
    </row>
    <row r="289" spans="1:6" s="8" customFormat="1">
      <c r="A289" s="184">
        <v>20</v>
      </c>
      <c r="B289" s="248" t="s">
        <v>30</v>
      </c>
      <c r="C289" s="213">
        <v>815.5</v>
      </c>
      <c r="D289" s="41" t="s">
        <v>72</v>
      </c>
      <c r="E289" s="7" t="s">
        <v>9</v>
      </c>
      <c r="F289" s="652" t="s">
        <v>778</v>
      </c>
    </row>
    <row r="290" spans="1:6" s="8" customFormat="1">
      <c r="A290" s="185"/>
      <c r="B290" s="247" t="s">
        <v>17</v>
      </c>
      <c r="C290" s="179">
        <v>397</v>
      </c>
      <c r="D290" s="163" t="s">
        <v>15</v>
      </c>
      <c r="E290" s="162" t="s">
        <v>18</v>
      </c>
      <c r="F290" s="653"/>
    </row>
    <row r="291" spans="1:6" s="8" customFormat="1">
      <c r="A291" s="185"/>
      <c r="B291" s="247" t="s">
        <v>14</v>
      </c>
      <c r="C291" s="179">
        <v>172.4</v>
      </c>
      <c r="D291" s="163" t="s">
        <v>15</v>
      </c>
      <c r="E291" s="162" t="s">
        <v>18</v>
      </c>
      <c r="F291" s="653"/>
    </row>
    <row r="292" spans="1:6" s="8" customFormat="1">
      <c r="A292" s="185"/>
      <c r="B292" s="247" t="s">
        <v>47</v>
      </c>
      <c r="C292" s="179">
        <v>26.2</v>
      </c>
      <c r="D292" s="163" t="s">
        <v>20</v>
      </c>
      <c r="E292" s="162" t="s">
        <v>18</v>
      </c>
      <c r="F292" s="653"/>
    </row>
    <row r="293" spans="1:6" s="8" customFormat="1">
      <c r="A293" s="185"/>
      <c r="B293" s="247" t="s">
        <v>36</v>
      </c>
      <c r="C293" s="179">
        <v>48.9</v>
      </c>
      <c r="D293" s="163" t="s">
        <v>15</v>
      </c>
      <c r="E293" s="162" t="s">
        <v>18</v>
      </c>
      <c r="F293" s="653"/>
    </row>
    <row r="294" spans="1:6" s="8" customFormat="1">
      <c r="A294" s="185"/>
      <c r="B294" s="247" t="s">
        <v>21</v>
      </c>
      <c r="C294" s="179">
        <v>7.9</v>
      </c>
      <c r="D294" s="163" t="s">
        <v>22</v>
      </c>
      <c r="E294" s="162" t="s">
        <v>18</v>
      </c>
      <c r="F294" s="653"/>
    </row>
    <row r="295" spans="1:6" s="8" customFormat="1">
      <c r="A295" s="185"/>
      <c r="B295" s="247" t="s">
        <v>41</v>
      </c>
      <c r="C295" s="179">
        <v>89.5</v>
      </c>
      <c r="D295" s="163" t="s">
        <v>15</v>
      </c>
      <c r="E295" s="162" t="s">
        <v>28</v>
      </c>
      <c r="F295" s="653"/>
    </row>
    <row r="296" spans="1:6" s="8" customFormat="1">
      <c r="A296" s="185"/>
      <c r="B296" s="247" t="s">
        <v>19</v>
      </c>
      <c r="C296" s="179">
        <v>39.5</v>
      </c>
      <c r="D296" s="163" t="s">
        <v>15</v>
      </c>
      <c r="E296" s="162" t="s">
        <v>18</v>
      </c>
      <c r="F296" s="653"/>
    </row>
    <row r="297" spans="1:6" s="8" customFormat="1">
      <c r="A297" s="186"/>
      <c r="B297" s="254" t="s">
        <v>40</v>
      </c>
      <c r="C297" s="90">
        <v>34.1</v>
      </c>
      <c r="D297" s="94" t="s">
        <v>67</v>
      </c>
      <c r="E297" s="215" t="s">
        <v>68</v>
      </c>
      <c r="F297" s="653"/>
    </row>
    <row r="298" spans="1:6" s="8" customFormat="1">
      <c r="A298" s="184">
        <v>21</v>
      </c>
      <c r="B298" s="210" t="s">
        <v>102</v>
      </c>
      <c r="C298" s="218">
        <v>986.5</v>
      </c>
      <c r="D298" s="41" t="s">
        <v>72</v>
      </c>
      <c r="E298" s="7" t="s">
        <v>9</v>
      </c>
      <c r="F298" s="652" t="s">
        <v>779</v>
      </c>
    </row>
    <row r="299" spans="1:6" s="8" customFormat="1">
      <c r="A299" s="185"/>
      <c r="B299" s="145" t="s">
        <v>36</v>
      </c>
      <c r="C299" s="179">
        <v>245.9</v>
      </c>
      <c r="D299" s="163" t="s">
        <v>15</v>
      </c>
      <c r="E299" s="151" t="s">
        <v>88</v>
      </c>
      <c r="F299" s="653"/>
    </row>
    <row r="300" spans="1:6" s="8" customFormat="1">
      <c r="A300" s="185"/>
      <c r="B300" s="145" t="s">
        <v>36</v>
      </c>
      <c r="C300" s="179">
        <v>401</v>
      </c>
      <c r="D300" s="163" t="s">
        <v>15</v>
      </c>
      <c r="E300" s="151" t="s">
        <v>88</v>
      </c>
      <c r="F300" s="653"/>
    </row>
    <row r="301" spans="1:6" s="8" customFormat="1">
      <c r="A301" s="185"/>
      <c r="B301" s="145" t="s">
        <v>39</v>
      </c>
      <c r="C301" s="179">
        <v>130.69999999999999</v>
      </c>
      <c r="D301" s="163" t="s">
        <v>15</v>
      </c>
      <c r="E301" s="151" t="s">
        <v>18</v>
      </c>
      <c r="F301" s="653"/>
    </row>
    <row r="302" spans="1:6" s="8" customFormat="1">
      <c r="A302" s="185"/>
      <c r="B302" s="145" t="s">
        <v>21</v>
      </c>
      <c r="C302" s="179">
        <v>8.5</v>
      </c>
      <c r="D302" s="163" t="s">
        <v>22</v>
      </c>
      <c r="E302" s="151" t="s">
        <v>18</v>
      </c>
      <c r="F302" s="653"/>
    </row>
    <row r="303" spans="1:6" s="8" customFormat="1">
      <c r="A303" s="185"/>
      <c r="B303" s="145" t="s">
        <v>17</v>
      </c>
      <c r="C303" s="179">
        <v>66.900000000000006</v>
      </c>
      <c r="D303" s="163" t="s">
        <v>15</v>
      </c>
      <c r="E303" s="151" t="s">
        <v>18</v>
      </c>
      <c r="F303" s="653"/>
    </row>
    <row r="304" spans="1:6" s="8" customFormat="1">
      <c r="A304" s="185"/>
      <c r="B304" s="247" t="s">
        <v>47</v>
      </c>
      <c r="C304" s="179">
        <v>26</v>
      </c>
      <c r="D304" s="163" t="s">
        <v>15</v>
      </c>
      <c r="E304" s="151" t="s">
        <v>18</v>
      </c>
      <c r="F304" s="653"/>
    </row>
    <row r="305" spans="1:6" s="8" customFormat="1">
      <c r="A305" s="185"/>
      <c r="B305" s="247" t="s">
        <v>706</v>
      </c>
      <c r="C305" s="179">
        <v>4.4000000000000004</v>
      </c>
      <c r="D305" s="163" t="s">
        <v>15</v>
      </c>
      <c r="E305" s="151" t="s">
        <v>18</v>
      </c>
      <c r="F305" s="653"/>
    </row>
    <row r="306" spans="1:6" s="8" customFormat="1">
      <c r="A306" s="186"/>
      <c r="B306" s="269" t="s">
        <v>71</v>
      </c>
      <c r="C306" s="90">
        <v>103.1</v>
      </c>
      <c r="D306" s="94" t="s">
        <v>15</v>
      </c>
      <c r="E306" s="36" t="s">
        <v>88</v>
      </c>
      <c r="F306" s="654"/>
    </row>
    <row r="307" spans="1:6" s="8" customFormat="1">
      <c r="A307" s="219"/>
      <c r="B307" s="256" t="s">
        <v>780</v>
      </c>
      <c r="C307" s="552">
        <f>C309+C318+C328</f>
        <v>1428.3</v>
      </c>
      <c r="D307" s="175"/>
      <c r="E307" s="175"/>
      <c r="F307" s="652" t="s">
        <v>781</v>
      </c>
    </row>
    <row r="308" spans="1:6" s="8" customFormat="1">
      <c r="A308" s="180">
        <v>22</v>
      </c>
      <c r="B308" s="257"/>
      <c r="C308" s="551">
        <f>SUM(C309,C315)</f>
        <v>478.6</v>
      </c>
      <c r="D308" s="34"/>
      <c r="E308" s="34"/>
      <c r="F308" s="653"/>
    </row>
    <row r="309" spans="1:6" s="8" customFormat="1">
      <c r="A309" s="180"/>
      <c r="B309" s="258" t="s">
        <v>12</v>
      </c>
      <c r="C309" s="551">
        <f>SUM(C310:C314)</f>
        <v>188</v>
      </c>
      <c r="D309" s="599" t="s">
        <v>72</v>
      </c>
      <c r="E309" s="32" t="s">
        <v>9</v>
      </c>
      <c r="F309" s="653"/>
    </row>
    <row r="310" spans="1:6" s="8" customFormat="1">
      <c r="A310" s="180"/>
      <c r="B310" s="259" t="s">
        <v>36</v>
      </c>
      <c r="C310" s="151">
        <v>139.4</v>
      </c>
      <c r="D310" s="163" t="s">
        <v>15</v>
      </c>
      <c r="E310" s="34" t="s">
        <v>16</v>
      </c>
      <c r="F310" s="653"/>
    </row>
    <row r="311" spans="1:6" s="8" customFormat="1">
      <c r="A311" s="180"/>
      <c r="B311" s="259" t="s">
        <v>130</v>
      </c>
      <c r="C311" s="151">
        <v>13.7</v>
      </c>
      <c r="D311" s="163" t="s">
        <v>15</v>
      </c>
      <c r="E311" s="34" t="s">
        <v>18</v>
      </c>
      <c r="F311" s="653"/>
    </row>
    <row r="312" spans="1:6" s="8" customFormat="1">
      <c r="A312" s="180"/>
      <c r="B312" s="259" t="s">
        <v>14</v>
      </c>
      <c r="C312" s="151">
        <v>17.600000000000001</v>
      </c>
      <c r="D312" s="163" t="s">
        <v>15</v>
      </c>
      <c r="E312" s="34" t="s">
        <v>18</v>
      </c>
      <c r="F312" s="653"/>
    </row>
    <row r="313" spans="1:6" s="8" customFormat="1">
      <c r="A313" s="180"/>
      <c r="B313" s="145" t="s">
        <v>21</v>
      </c>
      <c r="C313" s="151">
        <v>2.4</v>
      </c>
      <c r="D313" s="163" t="s">
        <v>22</v>
      </c>
      <c r="E313" s="34" t="s">
        <v>18</v>
      </c>
      <c r="F313" s="653"/>
    </row>
    <row r="314" spans="1:6" s="8" customFormat="1">
      <c r="A314" s="180"/>
      <c r="B314" s="259" t="s">
        <v>35</v>
      </c>
      <c r="C314" s="151">
        <v>14.9</v>
      </c>
      <c r="D314" s="163" t="s">
        <v>15</v>
      </c>
      <c r="E314" s="34" t="s">
        <v>18</v>
      </c>
      <c r="F314" s="653"/>
    </row>
    <row r="315" spans="1:6" s="8" customFormat="1">
      <c r="A315" s="180"/>
      <c r="B315" s="246" t="s">
        <v>782</v>
      </c>
      <c r="C315" s="551">
        <f>SUM(C316:C317)</f>
        <v>290.60000000000002</v>
      </c>
      <c r="D315" s="163"/>
      <c r="E315" s="34"/>
      <c r="F315" s="653"/>
    </row>
    <row r="316" spans="1:6" s="8" customFormat="1">
      <c r="A316" s="180"/>
      <c r="B316" s="247" t="s">
        <v>36</v>
      </c>
      <c r="C316" s="179">
        <v>216.4</v>
      </c>
      <c r="D316" s="163" t="s">
        <v>15</v>
      </c>
      <c r="E316" s="162" t="s">
        <v>18</v>
      </c>
      <c r="F316" s="653"/>
    </row>
    <row r="317" spans="1:6" s="8" customFormat="1">
      <c r="A317" s="220"/>
      <c r="B317" s="247" t="s">
        <v>39</v>
      </c>
      <c r="C317" s="179">
        <v>74.2</v>
      </c>
      <c r="D317" s="163" t="s">
        <v>15</v>
      </c>
      <c r="E317" s="162" t="s">
        <v>18</v>
      </c>
      <c r="F317" s="654"/>
    </row>
    <row r="318" spans="1:6" s="8" customFormat="1">
      <c r="A318" s="184">
        <v>23</v>
      </c>
      <c r="B318" s="270" t="s">
        <v>823</v>
      </c>
      <c r="C318" s="552">
        <f>SUM(C319:C327)</f>
        <v>513.09999999999991</v>
      </c>
      <c r="D318" s="41" t="s">
        <v>72</v>
      </c>
      <c r="E318" s="7" t="s">
        <v>9</v>
      </c>
      <c r="F318" s="652" t="s">
        <v>783</v>
      </c>
    </row>
    <row r="319" spans="1:6" s="8" customFormat="1">
      <c r="A319" s="185"/>
      <c r="B319" s="259" t="s">
        <v>17</v>
      </c>
      <c r="C319" s="151">
        <v>39.200000000000003</v>
      </c>
      <c r="D319" s="163" t="s">
        <v>15</v>
      </c>
      <c r="E319" s="162" t="s">
        <v>18</v>
      </c>
      <c r="F319" s="653"/>
    </row>
    <row r="320" spans="1:6" s="8" customFormat="1">
      <c r="A320" s="185"/>
      <c r="B320" s="259" t="s">
        <v>74</v>
      </c>
      <c r="C320" s="151">
        <v>26.5</v>
      </c>
      <c r="D320" s="163" t="s">
        <v>15</v>
      </c>
      <c r="E320" s="162" t="s">
        <v>18</v>
      </c>
      <c r="F320" s="653"/>
    </row>
    <row r="321" spans="1:6" s="8" customFormat="1">
      <c r="A321" s="185"/>
      <c r="B321" s="259" t="s">
        <v>14</v>
      </c>
      <c r="C321" s="151">
        <v>49.8</v>
      </c>
      <c r="D321" s="163" t="s">
        <v>15</v>
      </c>
      <c r="E321" s="162" t="s">
        <v>18</v>
      </c>
      <c r="F321" s="653"/>
    </row>
    <row r="322" spans="1:6" s="8" customFormat="1">
      <c r="A322" s="185"/>
      <c r="B322" s="259" t="s">
        <v>47</v>
      </c>
      <c r="C322" s="151">
        <v>32.1</v>
      </c>
      <c r="D322" s="163" t="s">
        <v>15</v>
      </c>
      <c r="E322" s="162" t="s">
        <v>18</v>
      </c>
      <c r="F322" s="653"/>
    </row>
    <row r="323" spans="1:6" s="8" customFormat="1">
      <c r="A323" s="185"/>
      <c r="B323" s="259" t="s">
        <v>36</v>
      </c>
      <c r="C323" s="151">
        <v>159.19999999999999</v>
      </c>
      <c r="D323" s="163" t="s">
        <v>15</v>
      </c>
      <c r="E323" s="162" t="s">
        <v>16</v>
      </c>
      <c r="F323" s="653"/>
    </row>
    <row r="324" spans="1:6" s="8" customFormat="1">
      <c r="A324" s="185"/>
      <c r="B324" s="259" t="s">
        <v>71</v>
      </c>
      <c r="C324" s="151">
        <v>31.6</v>
      </c>
      <c r="D324" s="163" t="s">
        <v>15</v>
      </c>
      <c r="E324" s="162" t="s">
        <v>18</v>
      </c>
      <c r="F324" s="653"/>
    </row>
    <row r="325" spans="1:6" s="8" customFormat="1">
      <c r="A325" s="185"/>
      <c r="B325" s="258" t="s">
        <v>782</v>
      </c>
      <c r="C325" s="151"/>
      <c r="D325" s="163"/>
      <c r="E325" s="162"/>
      <c r="F325" s="653"/>
    </row>
    <row r="326" spans="1:6" s="8" customFormat="1">
      <c r="A326" s="185"/>
      <c r="B326" s="259" t="s">
        <v>36</v>
      </c>
      <c r="C326" s="151">
        <v>166.7</v>
      </c>
      <c r="D326" s="163" t="s">
        <v>15</v>
      </c>
      <c r="E326" s="162" t="s">
        <v>18</v>
      </c>
      <c r="F326" s="653"/>
    </row>
    <row r="327" spans="1:6" s="8" customFormat="1">
      <c r="A327" s="186"/>
      <c r="B327" s="271" t="s">
        <v>21</v>
      </c>
      <c r="C327" s="151">
        <v>8</v>
      </c>
      <c r="D327" s="163" t="s">
        <v>22</v>
      </c>
      <c r="E327" s="162" t="s">
        <v>18</v>
      </c>
      <c r="F327" s="654"/>
    </row>
    <row r="328" spans="1:6" s="8" customFormat="1">
      <c r="A328" s="185">
        <v>24</v>
      </c>
      <c r="B328" s="270" t="s">
        <v>824</v>
      </c>
      <c r="C328" s="213">
        <f>C329+C330+C331+C332+C333+C334+C335+C336</f>
        <v>727.2</v>
      </c>
      <c r="D328" s="41" t="s">
        <v>72</v>
      </c>
      <c r="E328" s="7" t="s">
        <v>9</v>
      </c>
      <c r="F328" s="661" t="s">
        <v>784</v>
      </c>
    </row>
    <row r="329" spans="1:6" s="8" customFormat="1">
      <c r="A329" s="185"/>
      <c r="B329" s="259" t="s">
        <v>17</v>
      </c>
      <c r="C329" s="179">
        <v>53.4</v>
      </c>
      <c r="D329" s="163" t="s">
        <v>15</v>
      </c>
      <c r="E329" s="162" t="s">
        <v>18</v>
      </c>
      <c r="F329" s="662"/>
    </row>
    <row r="330" spans="1:6" s="8" customFormat="1">
      <c r="A330" s="185"/>
      <c r="B330" s="259" t="s">
        <v>130</v>
      </c>
      <c r="C330" s="179">
        <v>15.3</v>
      </c>
      <c r="D330" s="163" t="s">
        <v>15</v>
      </c>
      <c r="E330" s="162" t="s">
        <v>18</v>
      </c>
      <c r="F330" s="662"/>
    </row>
    <row r="331" spans="1:6" s="8" customFormat="1">
      <c r="A331" s="185"/>
      <c r="B331" s="259" t="s">
        <v>39</v>
      </c>
      <c r="C331" s="179">
        <v>61</v>
      </c>
      <c r="D331" s="163" t="s">
        <v>15</v>
      </c>
      <c r="E331" s="162" t="s">
        <v>18</v>
      </c>
      <c r="F331" s="662"/>
    </row>
    <row r="332" spans="1:6" s="8" customFormat="1">
      <c r="A332" s="185"/>
      <c r="B332" s="259" t="s">
        <v>36</v>
      </c>
      <c r="C332" s="179">
        <v>259.60000000000002</v>
      </c>
      <c r="D332" s="163" t="s">
        <v>15</v>
      </c>
      <c r="E332" s="162" t="s">
        <v>16</v>
      </c>
      <c r="F332" s="662"/>
    </row>
    <row r="333" spans="1:6" s="8" customFormat="1">
      <c r="A333" s="185"/>
      <c r="B333" s="259" t="s">
        <v>36</v>
      </c>
      <c r="C333" s="179">
        <v>167</v>
      </c>
      <c r="D333" s="163" t="s">
        <v>15</v>
      </c>
      <c r="E333" s="162" t="s">
        <v>42</v>
      </c>
      <c r="F333" s="662"/>
    </row>
    <row r="334" spans="1:6" s="8" customFormat="1">
      <c r="A334" s="185"/>
      <c r="B334" s="145" t="s">
        <v>21</v>
      </c>
      <c r="C334" s="179">
        <v>11.1</v>
      </c>
      <c r="D334" s="163" t="s">
        <v>22</v>
      </c>
      <c r="E334" s="162" t="s">
        <v>18</v>
      </c>
      <c r="F334" s="662"/>
    </row>
    <row r="335" spans="1:6" s="8" customFormat="1">
      <c r="A335" s="185"/>
      <c r="B335" s="259" t="s">
        <v>71</v>
      </c>
      <c r="C335" s="179">
        <v>128.6</v>
      </c>
      <c r="D335" s="163" t="s">
        <v>15</v>
      </c>
      <c r="E335" s="162" t="s">
        <v>68</v>
      </c>
      <c r="F335" s="662"/>
    </row>
    <row r="336" spans="1:6" s="8" customFormat="1">
      <c r="A336" s="185"/>
      <c r="B336" s="259" t="s">
        <v>47</v>
      </c>
      <c r="C336" s="179">
        <v>31.2</v>
      </c>
      <c r="D336" s="94" t="s">
        <v>15</v>
      </c>
      <c r="E336" s="215" t="s">
        <v>18</v>
      </c>
      <c r="F336" s="662"/>
    </row>
    <row r="337" spans="1:6" s="8" customFormat="1">
      <c r="A337" s="184">
        <v>24</v>
      </c>
      <c r="B337" s="270" t="s">
        <v>785</v>
      </c>
      <c r="C337" s="552">
        <f>C338+C347</f>
        <v>867.2</v>
      </c>
      <c r="D337" s="181"/>
      <c r="E337" s="178"/>
      <c r="F337" s="652" t="s">
        <v>786</v>
      </c>
    </row>
    <row r="338" spans="1:6" s="8" customFormat="1">
      <c r="A338" s="185" t="s">
        <v>11</v>
      </c>
      <c r="B338" s="258" t="s">
        <v>12</v>
      </c>
      <c r="C338" s="551">
        <f>C339+C340+C341+C342+C343+C344+C345+C346</f>
        <v>374.59999999999997</v>
      </c>
      <c r="D338" s="599" t="s">
        <v>72</v>
      </c>
      <c r="E338" s="32" t="s">
        <v>9</v>
      </c>
      <c r="F338" s="653"/>
    </row>
    <row r="339" spans="1:6" s="8" customFormat="1">
      <c r="A339" s="185"/>
      <c r="B339" s="259" t="s">
        <v>17</v>
      </c>
      <c r="C339" s="151">
        <v>69.7</v>
      </c>
      <c r="D339" s="163" t="s">
        <v>15</v>
      </c>
      <c r="E339" s="151" t="s">
        <v>18</v>
      </c>
      <c r="F339" s="653"/>
    </row>
    <row r="340" spans="1:6" s="8" customFormat="1">
      <c r="A340" s="185"/>
      <c r="B340" s="259" t="s">
        <v>14</v>
      </c>
      <c r="C340" s="151">
        <v>41.1</v>
      </c>
      <c r="D340" s="163" t="s">
        <v>15</v>
      </c>
      <c r="E340" s="151" t="s">
        <v>18</v>
      </c>
      <c r="F340" s="653"/>
    </row>
    <row r="341" spans="1:6" s="8" customFormat="1">
      <c r="A341" s="185"/>
      <c r="B341" s="259" t="s">
        <v>130</v>
      </c>
      <c r="C341" s="151">
        <v>10.8</v>
      </c>
      <c r="D341" s="163" t="s">
        <v>15</v>
      </c>
      <c r="E341" s="151" t="s">
        <v>18</v>
      </c>
      <c r="F341" s="653"/>
    </row>
    <row r="342" spans="1:6" s="8" customFormat="1">
      <c r="A342" s="185"/>
      <c r="B342" s="259" t="s">
        <v>14</v>
      </c>
      <c r="C342" s="151">
        <v>21.9</v>
      </c>
      <c r="D342" s="163" t="s">
        <v>15</v>
      </c>
      <c r="E342" s="151" t="s">
        <v>18</v>
      </c>
      <c r="F342" s="653"/>
    </row>
    <row r="343" spans="1:6" s="8" customFormat="1">
      <c r="A343" s="185"/>
      <c r="B343" s="259" t="s">
        <v>21</v>
      </c>
      <c r="C343" s="151">
        <v>8</v>
      </c>
      <c r="D343" s="163" t="s">
        <v>22</v>
      </c>
      <c r="E343" s="151" t="s">
        <v>18</v>
      </c>
      <c r="F343" s="653"/>
    </row>
    <row r="344" spans="1:6" s="8" customFormat="1">
      <c r="A344" s="185"/>
      <c r="B344" s="259" t="s">
        <v>47</v>
      </c>
      <c r="C344" s="151">
        <v>6.5</v>
      </c>
      <c r="D344" s="163" t="s">
        <v>67</v>
      </c>
      <c r="E344" s="151" t="s">
        <v>18</v>
      </c>
      <c r="F344" s="653"/>
    </row>
    <row r="345" spans="1:6" s="8" customFormat="1">
      <c r="A345" s="185"/>
      <c r="B345" s="259" t="s">
        <v>36</v>
      </c>
      <c r="C345" s="151">
        <v>201.7</v>
      </c>
      <c r="D345" s="163" t="s">
        <v>27</v>
      </c>
      <c r="E345" s="151" t="s">
        <v>18</v>
      </c>
      <c r="F345" s="653"/>
    </row>
    <row r="346" spans="1:6" s="8" customFormat="1">
      <c r="A346" s="185"/>
      <c r="B346" s="259" t="s">
        <v>47</v>
      </c>
      <c r="C346" s="151">
        <v>14.9</v>
      </c>
      <c r="D346" s="163"/>
      <c r="E346" s="151"/>
      <c r="F346" s="653"/>
    </row>
    <row r="347" spans="1:6" s="8" customFormat="1">
      <c r="A347" s="185" t="s">
        <v>29</v>
      </c>
      <c r="B347" s="258" t="s">
        <v>30</v>
      </c>
      <c r="C347" s="551">
        <f>C348+C349+C350+C351+C352+C353+C354+C355</f>
        <v>492.6</v>
      </c>
      <c r="D347" s="599" t="s">
        <v>72</v>
      </c>
      <c r="E347" s="32" t="s">
        <v>9</v>
      </c>
      <c r="F347" s="653"/>
    </row>
    <row r="348" spans="1:6" s="8" customFormat="1">
      <c r="A348" s="185"/>
      <c r="B348" s="259" t="s">
        <v>14</v>
      </c>
      <c r="C348" s="151">
        <v>37.700000000000003</v>
      </c>
      <c r="D348" s="163" t="s">
        <v>15</v>
      </c>
      <c r="E348" s="151" t="s">
        <v>18</v>
      </c>
      <c r="F348" s="653"/>
    </row>
    <row r="349" spans="1:6" s="8" customFormat="1">
      <c r="A349" s="185"/>
      <c r="B349" s="259" t="s">
        <v>36</v>
      </c>
      <c r="C349" s="151">
        <v>81.400000000000006</v>
      </c>
      <c r="D349" s="163" t="s">
        <v>15</v>
      </c>
      <c r="E349" s="151" t="s">
        <v>18</v>
      </c>
      <c r="F349" s="653"/>
    </row>
    <row r="350" spans="1:6" s="8" customFormat="1">
      <c r="A350" s="185"/>
      <c r="B350" s="259" t="s">
        <v>71</v>
      </c>
      <c r="C350" s="151">
        <v>46.7</v>
      </c>
      <c r="D350" s="163" t="s">
        <v>15</v>
      </c>
      <c r="E350" s="151" t="s">
        <v>18</v>
      </c>
      <c r="F350" s="653"/>
    </row>
    <row r="351" spans="1:6" s="8" customFormat="1">
      <c r="A351" s="185"/>
      <c r="B351" s="259" t="s">
        <v>14</v>
      </c>
      <c r="C351" s="151">
        <v>33.200000000000003</v>
      </c>
      <c r="D351" s="163" t="s">
        <v>15</v>
      </c>
      <c r="E351" s="151" t="s">
        <v>18</v>
      </c>
      <c r="F351" s="653"/>
    </row>
    <row r="352" spans="1:6" s="8" customFormat="1">
      <c r="A352" s="185"/>
      <c r="B352" s="259" t="s">
        <v>21</v>
      </c>
      <c r="C352" s="151">
        <v>6.7</v>
      </c>
      <c r="D352" s="163" t="s">
        <v>22</v>
      </c>
      <c r="E352" s="151" t="s">
        <v>18</v>
      </c>
      <c r="F352" s="653"/>
    </row>
    <row r="353" spans="1:6" s="8" customFormat="1">
      <c r="A353" s="185"/>
      <c r="B353" s="259" t="s">
        <v>17</v>
      </c>
      <c r="C353" s="151">
        <v>158.9</v>
      </c>
      <c r="D353" s="163" t="s">
        <v>15</v>
      </c>
      <c r="E353" s="151" t="s">
        <v>18</v>
      </c>
      <c r="F353" s="653"/>
    </row>
    <row r="354" spans="1:6" s="8" customFormat="1">
      <c r="A354" s="185"/>
      <c r="B354" s="259" t="s">
        <v>71</v>
      </c>
      <c r="C354" s="151">
        <v>112.3</v>
      </c>
      <c r="D354" s="163" t="s">
        <v>27</v>
      </c>
      <c r="E354" s="151" t="s">
        <v>18</v>
      </c>
      <c r="F354" s="653"/>
    </row>
    <row r="355" spans="1:6" s="8" customFormat="1">
      <c r="A355" s="186"/>
      <c r="B355" s="269" t="s">
        <v>47</v>
      </c>
      <c r="C355" s="153">
        <v>15.7</v>
      </c>
      <c r="D355" s="94" t="s">
        <v>15</v>
      </c>
      <c r="E355" s="153" t="s">
        <v>18</v>
      </c>
      <c r="F355" s="654"/>
    </row>
    <row r="356" spans="1:6" s="8" customFormat="1">
      <c r="A356" s="663" t="s">
        <v>787</v>
      </c>
      <c r="B356" s="664"/>
      <c r="C356" s="664"/>
      <c r="D356" s="664"/>
      <c r="E356" s="658"/>
      <c r="F356" s="665"/>
    </row>
    <row r="357" spans="1:6" s="8" customFormat="1">
      <c r="A357" s="184">
        <v>25</v>
      </c>
      <c r="B357" s="249" t="s">
        <v>788</v>
      </c>
      <c r="C357" s="213">
        <f>C359+C360+C361+C362+C363</f>
        <v>208.5</v>
      </c>
      <c r="D357" s="177"/>
      <c r="E357" s="175"/>
      <c r="F357" s="661" t="s">
        <v>789</v>
      </c>
    </row>
    <row r="358" spans="1:6" s="8" customFormat="1">
      <c r="A358" s="185" t="s">
        <v>11</v>
      </c>
      <c r="B358" s="246" t="s">
        <v>12</v>
      </c>
      <c r="C358" s="553">
        <v>208.5</v>
      </c>
      <c r="D358" s="599" t="s">
        <v>72</v>
      </c>
      <c r="E358" s="32" t="s">
        <v>9</v>
      </c>
      <c r="F358" s="662"/>
    </row>
    <row r="359" spans="1:6" s="8" customFormat="1">
      <c r="A359" s="185"/>
      <c r="B359" s="247" t="s">
        <v>217</v>
      </c>
      <c r="C359" s="179">
        <v>11.1</v>
      </c>
      <c r="D359" s="221" t="s">
        <v>15</v>
      </c>
      <c r="E359" s="34" t="s">
        <v>18</v>
      </c>
      <c r="F359" s="662"/>
    </row>
    <row r="360" spans="1:6" s="8" customFormat="1">
      <c r="A360" s="185"/>
      <c r="B360" s="247" t="s">
        <v>39</v>
      </c>
      <c r="C360" s="179">
        <v>32.4</v>
      </c>
      <c r="D360" s="221" t="s">
        <v>15</v>
      </c>
      <c r="E360" s="34" t="s">
        <v>18</v>
      </c>
      <c r="F360" s="662"/>
    </row>
    <row r="361" spans="1:6" s="8" customFormat="1">
      <c r="A361" s="185"/>
      <c r="B361" s="247" t="s">
        <v>36</v>
      </c>
      <c r="C361" s="179">
        <v>118.5</v>
      </c>
      <c r="D361" s="221" t="s">
        <v>15</v>
      </c>
      <c r="E361" s="34" t="s">
        <v>18</v>
      </c>
      <c r="F361" s="662"/>
    </row>
    <row r="362" spans="1:6" s="8" customFormat="1">
      <c r="A362" s="185"/>
      <c r="B362" s="247" t="s">
        <v>71</v>
      </c>
      <c r="C362" s="179">
        <v>41.3</v>
      </c>
      <c r="D362" s="221" t="s">
        <v>15</v>
      </c>
      <c r="E362" s="34" t="s">
        <v>18</v>
      </c>
      <c r="F362" s="662"/>
    </row>
    <row r="363" spans="1:6" s="8" customFormat="1">
      <c r="A363" s="185"/>
      <c r="B363" s="247" t="s">
        <v>21</v>
      </c>
      <c r="C363" s="179">
        <v>5.2</v>
      </c>
      <c r="D363" s="221" t="s">
        <v>22</v>
      </c>
      <c r="E363" s="36" t="s">
        <v>18</v>
      </c>
      <c r="F363" s="666"/>
    </row>
    <row r="364" spans="1:6" s="8" customFormat="1">
      <c r="A364" s="667" t="s">
        <v>790</v>
      </c>
      <c r="B364" s="659"/>
      <c r="C364" s="659"/>
      <c r="D364" s="659"/>
      <c r="E364" s="659"/>
      <c r="F364" s="668"/>
    </row>
    <row r="365" spans="1:6" s="8" customFormat="1">
      <c r="A365" s="185">
        <v>26</v>
      </c>
      <c r="B365" s="245" t="s">
        <v>791</v>
      </c>
      <c r="C365" s="222">
        <f>C366+C368+C369+C370+C371</f>
        <v>427.29999999999995</v>
      </c>
      <c r="D365" s="41" t="s">
        <v>72</v>
      </c>
      <c r="E365" s="7" t="s">
        <v>9</v>
      </c>
      <c r="F365" s="652" t="s">
        <v>792</v>
      </c>
    </row>
    <row r="366" spans="1:6" s="8" customFormat="1">
      <c r="A366" s="185"/>
      <c r="B366" s="247" t="s">
        <v>14</v>
      </c>
      <c r="C366" s="179">
        <v>58.6</v>
      </c>
      <c r="D366" s="221" t="s">
        <v>15</v>
      </c>
      <c r="E366" s="34" t="s">
        <v>18</v>
      </c>
      <c r="F366" s="653"/>
    </row>
    <row r="367" spans="1:6" s="8" customFormat="1">
      <c r="A367" s="185"/>
      <c r="B367" s="247" t="s">
        <v>36</v>
      </c>
      <c r="C367" s="179">
        <f>2.7+3.6+59.7+20+71.9+6.3+12.6+2.7+3.7</f>
        <v>183.2</v>
      </c>
      <c r="D367" s="221"/>
      <c r="E367" s="34" t="s">
        <v>28</v>
      </c>
      <c r="F367" s="653"/>
    </row>
    <row r="368" spans="1:6" s="8" customFormat="1">
      <c r="A368" s="185"/>
      <c r="B368" s="247" t="s">
        <v>71</v>
      </c>
      <c r="C368" s="179">
        <v>154.6</v>
      </c>
      <c r="D368" s="221" t="s">
        <v>15</v>
      </c>
      <c r="E368" s="34" t="s">
        <v>18</v>
      </c>
      <c r="F368" s="653"/>
    </row>
    <row r="369" spans="1:6" s="8" customFormat="1">
      <c r="A369" s="185"/>
      <c r="B369" s="247" t="s">
        <v>17</v>
      </c>
      <c r="C369" s="179">
        <v>203.2</v>
      </c>
      <c r="D369" s="221" t="s">
        <v>15</v>
      </c>
      <c r="E369" s="34" t="s">
        <v>18</v>
      </c>
      <c r="F369" s="653"/>
    </row>
    <row r="370" spans="1:6" s="8" customFormat="1">
      <c r="A370" s="185"/>
      <c r="B370" s="247" t="s">
        <v>47</v>
      </c>
      <c r="C370" s="179">
        <v>3</v>
      </c>
      <c r="D370" s="221" t="s">
        <v>15</v>
      </c>
      <c r="E370" s="34" t="s">
        <v>18</v>
      </c>
      <c r="F370" s="653"/>
    </row>
    <row r="371" spans="1:6" s="8" customFormat="1">
      <c r="A371" s="186"/>
      <c r="B371" s="254" t="s">
        <v>21</v>
      </c>
      <c r="C371" s="223" t="s">
        <v>793</v>
      </c>
      <c r="D371" s="223" t="s">
        <v>22</v>
      </c>
      <c r="E371" s="36" t="s">
        <v>18</v>
      </c>
      <c r="F371" s="654"/>
    </row>
    <row r="372" spans="1:6" s="8" customFormat="1">
      <c r="A372" s="657" t="s">
        <v>1002</v>
      </c>
      <c r="B372" s="658"/>
      <c r="C372" s="658"/>
      <c r="D372" s="659"/>
      <c r="E372" s="659"/>
      <c r="F372" s="660"/>
    </row>
    <row r="373" spans="1:6" s="8" customFormat="1">
      <c r="A373" s="184">
        <v>27</v>
      </c>
      <c r="B373" s="256" t="s">
        <v>794</v>
      </c>
      <c r="C373" s="303">
        <f>SUM(C375,C383,C392)</f>
        <v>1066.7</v>
      </c>
      <c r="D373" s="175" t="s">
        <v>214</v>
      </c>
      <c r="E373" s="178" t="s">
        <v>214</v>
      </c>
      <c r="F373" s="652" t="s">
        <v>795</v>
      </c>
    </row>
    <row r="374" spans="1:6" s="8" customFormat="1">
      <c r="A374" s="185"/>
      <c r="B374" s="257"/>
      <c r="C374" s="432">
        <f>C375+C383</f>
        <v>570.1</v>
      </c>
      <c r="D374" s="34"/>
      <c r="E374" s="151"/>
      <c r="F374" s="653"/>
    </row>
    <row r="375" spans="1:6" s="8" customFormat="1">
      <c r="A375" s="185" t="s">
        <v>11</v>
      </c>
      <c r="B375" s="258" t="s">
        <v>12</v>
      </c>
      <c r="C375" s="551">
        <v>185</v>
      </c>
      <c r="D375" s="599" t="s">
        <v>72</v>
      </c>
      <c r="E375" s="32" t="s">
        <v>9</v>
      </c>
      <c r="F375" s="653"/>
    </row>
    <row r="376" spans="1:6" s="8" customFormat="1">
      <c r="A376" s="185"/>
      <c r="B376" s="259" t="s">
        <v>796</v>
      </c>
      <c r="C376" s="151">
        <v>73.900000000000006</v>
      </c>
      <c r="D376" s="163" t="s">
        <v>15</v>
      </c>
      <c r="E376" s="151" t="s">
        <v>18</v>
      </c>
      <c r="F376" s="653"/>
    </row>
    <row r="377" spans="1:6" s="8" customFormat="1">
      <c r="A377" s="185"/>
      <c r="B377" s="259" t="s">
        <v>24</v>
      </c>
      <c r="C377" s="151">
        <v>3.6</v>
      </c>
      <c r="D377" s="163" t="s">
        <v>27</v>
      </c>
      <c r="E377" s="151" t="s">
        <v>797</v>
      </c>
      <c r="F377" s="653"/>
    </row>
    <row r="378" spans="1:6" s="8" customFormat="1">
      <c r="A378" s="185"/>
      <c r="B378" s="259" t="s">
        <v>537</v>
      </c>
      <c r="C378" s="151">
        <v>0.8</v>
      </c>
      <c r="D378" s="163" t="s">
        <v>22</v>
      </c>
      <c r="E378" s="151" t="s">
        <v>18</v>
      </c>
      <c r="F378" s="653"/>
    </row>
    <row r="379" spans="1:6" s="8" customFormat="1">
      <c r="A379" s="185"/>
      <c r="B379" s="259" t="s">
        <v>71</v>
      </c>
      <c r="C379" s="151">
        <v>55.9</v>
      </c>
      <c r="D379" s="163" t="s">
        <v>15</v>
      </c>
      <c r="E379" s="151" t="s">
        <v>18</v>
      </c>
      <c r="F379" s="653"/>
    </row>
    <row r="380" spans="1:6" s="8" customFormat="1">
      <c r="A380" s="185"/>
      <c r="B380" s="259" t="s">
        <v>39</v>
      </c>
      <c r="C380" s="151">
        <v>14.4</v>
      </c>
      <c r="D380" s="163" t="s">
        <v>27</v>
      </c>
      <c r="E380" s="151" t="s">
        <v>18</v>
      </c>
      <c r="F380" s="653"/>
    </row>
    <row r="381" spans="1:6" s="8" customFormat="1">
      <c r="A381" s="185"/>
      <c r="B381" s="259" t="s">
        <v>47</v>
      </c>
      <c r="C381" s="151">
        <v>15.8</v>
      </c>
      <c r="D381" s="163" t="s">
        <v>27</v>
      </c>
      <c r="E381" s="151" t="s">
        <v>18</v>
      </c>
      <c r="F381" s="653"/>
    </row>
    <row r="382" spans="1:6" s="8" customFormat="1">
      <c r="A382" s="185"/>
      <c r="B382" s="259" t="s">
        <v>71</v>
      </c>
      <c r="C382" s="151">
        <v>20.6</v>
      </c>
      <c r="D382" s="163" t="s">
        <v>15</v>
      </c>
      <c r="E382" s="151" t="s">
        <v>150</v>
      </c>
      <c r="F382" s="653"/>
    </row>
    <row r="383" spans="1:6" s="8" customFormat="1">
      <c r="A383" s="185" t="s">
        <v>29</v>
      </c>
      <c r="B383" s="258" t="s">
        <v>30</v>
      </c>
      <c r="C383" s="551">
        <v>385.1</v>
      </c>
      <c r="D383" s="599" t="s">
        <v>72</v>
      </c>
      <c r="E383" s="32" t="s">
        <v>9</v>
      </c>
      <c r="F383" s="653"/>
    </row>
    <row r="384" spans="1:6" s="8" customFormat="1">
      <c r="A384" s="185"/>
      <c r="B384" s="259" t="s">
        <v>17</v>
      </c>
      <c r="C384" s="151">
        <v>133.5</v>
      </c>
      <c r="D384" s="163" t="s">
        <v>15</v>
      </c>
      <c r="E384" s="151" t="s">
        <v>18</v>
      </c>
      <c r="F384" s="653"/>
    </row>
    <row r="385" spans="1:6" s="8" customFormat="1">
      <c r="A385" s="185"/>
      <c r="B385" s="259" t="s">
        <v>14</v>
      </c>
      <c r="C385" s="151">
        <v>54.1</v>
      </c>
      <c r="D385" s="163" t="s">
        <v>27</v>
      </c>
      <c r="E385" s="151" t="s">
        <v>18</v>
      </c>
      <c r="F385" s="653"/>
    </row>
    <row r="386" spans="1:6" s="8" customFormat="1">
      <c r="A386" s="185"/>
      <c r="B386" s="259" t="s">
        <v>47</v>
      </c>
      <c r="C386" s="151">
        <v>15.6</v>
      </c>
      <c r="D386" s="163" t="s">
        <v>27</v>
      </c>
      <c r="E386" s="151" t="s">
        <v>18</v>
      </c>
      <c r="F386" s="653"/>
    </row>
    <row r="387" spans="1:6" s="8" customFormat="1">
      <c r="A387" s="185"/>
      <c r="B387" s="259" t="s">
        <v>36</v>
      </c>
      <c r="C387" s="151">
        <v>60.9</v>
      </c>
      <c r="D387" s="163" t="s">
        <v>15</v>
      </c>
      <c r="E387" s="151" t="s">
        <v>18</v>
      </c>
      <c r="F387" s="653"/>
    </row>
    <row r="388" spans="1:6" s="8" customFormat="1">
      <c r="A388" s="185"/>
      <c r="B388" s="259" t="s">
        <v>21</v>
      </c>
      <c r="C388" s="151">
        <v>16.8</v>
      </c>
      <c r="D388" s="163" t="s">
        <v>22</v>
      </c>
      <c r="E388" s="151" t="s">
        <v>18</v>
      </c>
      <c r="F388" s="653"/>
    </row>
    <row r="389" spans="1:6" s="8" customFormat="1">
      <c r="A389" s="185"/>
      <c r="B389" s="259" t="s">
        <v>41</v>
      </c>
      <c r="C389" s="151">
        <v>62.6</v>
      </c>
      <c r="D389" s="163" t="s">
        <v>27</v>
      </c>
      <c r="E389" s="151" t="s">
        <v>42</v>
      </c>
      <c r="F389" s="653"/>
    </row>
    <row r="390" spans="1:6" s="8" customFormat="1">
      <c r="A390" s="185"/>
      <c r="B390" s="259" t="s">
        <v>19</v>
      </c>
      <c r="C390" s="151">
        <v>10.6</v>
      </c>
      <c r="D390" s="163" t="s">
        <v>15</v>
      </c>
      <c r="E390" s="151" t="s">
        <v>42</v>
      </c>
      <c r="F390" s="653"/>
    </row>
    <row r="391" spans="1:6" s="8" customFormat="1">
      <c r="A391" s="186"/>
      <c r="B391" s="269" t="s">
        <v>71</v>
      </c>
      <c r="C391" s="153">
        <v>31</v>
      </c>
      <c r="D391" s="94" t="s">
        <v>15</v>
      </c>
      <c r="E391" s="153" t="s">
        <v>18</v>
      </c>
      <c r="F391" s="654"/>
    </row>
    <row r="392" spans="1:6" s="8" customFormat="1">
      <c r="A392" s="185">
        <v>28</v>
      </c>
      <c r="B392" s="260" t="s">
        <v>825</v>
      </c>
      <c r="C392" s="214">
        <v>496.6</v>
      </c>
      <c r="D392" s="41" t="s">
        <v>72</v>
      </c>
      <c r="E392" s="7" t="s">
        <v>9</v>
      </c>
      <c r="F392" s="653" t="s">
        <v>798</v>
      </c>
    </row>
    <row r="393" spans="1:6" s="8" customFormat="1">
      <c r="A393" s="185"/>
      <c r="B393" s="145" t="s">
        <v>36</v>
      </c>
      <c r="C393" s="151">
        <v>32</v>
      </c>
      <c r="D393" s="163" t="s">
        <v>15</v>
      </c>
      <c r="E393" s="162" t="s">
        <v>18</v>
      </c>
      <c r="F393" s="653"/>
    </row>
    <row r="394" spans="1:6" s="8" customFormat="1">
      <c r="A394" s="185"/>
      <c r="B394" s="259" t="s">
        <v>19</v>
      </c>
      <c r="C394" s="151">
        <v>10.1</v>
      </c>
      <c r="D394" s="163" t="s">
        <v>15</v>
      </c>
      <c r="E394" s="162" t="s">
        <v>18</v>
      </c>
      <c r="F394" s="653"/>
    </row>
    <row r="395" spans="1:6" s="8" customFormat="1">
      <c r="A395" s="185"/>
      <c r="B395" s="145" t="s">
        <v>39</v>
      </c>
      <c r="C395" s="151">
        <v>63</v>
      </c>
      <c r="D395" s="163" t="s">
        <v>27</v>
      </c>
      <c r="E395" s="162" t="s">
        <v>18</v>
      </c>
      <c r="F395" s="653"/>
    </row>
    <row r="396" spans="1:6" s="8" customFormat="1">
      <c r="A396" s="185"/>
      <c r="B396" s="145" t="s">
        <v>21</v>
      </c>
      <c r="C396" s="151">
        <v>6</v>
      </c>
      <c r="D396" s="163" t="s">
        <v>22</v>
      </c>
      <c r="E396" s="162" t="s">
        <v>18</v>
      </c>
      <c r="F396" s="653"/>
    </row>
    <row r="397" spans="1:6" s="8" customFormat="1">
      <c r="A397" s="185"/>
      <c r="B397" s="145" t="s">
        <v>17</v>
      </c>
      <c r="C397" s="151">
        <v>61.3</v>
      </c>
      <c r="D397" s="163" t="s">
        <v>15</v>
      </c>
      <c r="E397" s="162" t="s">
        <v>18</v>
      </c>
      <c r="F397" s="653"/>
    </row>
    <row r="398" spans="1:6" s="8" customFormat="1">
      <c r="A398" s="185"/>
      <c r="B398" s="259" t="s">
        <v>47</v>
      </c>
      <c r="C398" s="151">
        <v>31.2</v>
      </c>
      <c r="D398" s="163" t="s">
        <v>27</v>
      </c>
      <c r="E398" s="162" t="s">
        <v>18</v>
      </c>
      <c r="F398" s="653"/>
    </row>
    <row r="399" spans="1:6" s="8" customFormat="1">
      <c r="A399" s="185"/>
      <c r="B399" s="259" t="s">
        <v>40</v>
      </c>
      <c r="C399" s="151">
        <v>10.3</v>
      </c>
      <c r="D399" s="163" t="s">
        <v>15</v>
      </c>
      <c r="E399" s="162" t="s">
        <v>28</v>
      </c>
      <c r="F399" s="653"/>
    </row>
    <row r="400" spans="1:6" s="8" customFormat="1">
      <c r="A400" s="185"/>
      <c r="B400" s="259" t="s">
        <v>24</v>
      </c>
      <c r="C400" s="151">
        <v>8.6</v>
      </c>
      <c r="D400" s="163" t="s">
        <v>15</v>
      </c>
      <c r="E400" s="162" t="s">
        <v>42</v>
      </c>
      <c r="F400" s="653"/>
    </row>
    <row r="401" spans="1:6" s="8" customFormat="1">
      <c r="A401" s="185"/>
      <c r="B401" s="259" t="s">
        <v>71</v>
      </c>
      <c r="C401" s="151">
        <v>157.80000000000001</v>
      </c>
      <c r="D401" s="163" t="s">
        <v>15</v>
      </c>
      <c r="E401" s="162" t="s">
        <v>18</v>
      </c>
      <c r="F401" s="653"/>
    </row>
    <row r="402" spans="1:6" s="8" customFormat="1">
      <c r="A402" s="186"/>
      <c r="B402" s="269" t="s">
        <v>71</v>
      </c>
      <c r="C402" s="153">
        <v>116.3</v>
      </c>
      <c r="D402" s="94" t="s">
        <v>15</v>
      </c>
      <c r="E402" s="215" t="s">
        <v>799</v>
      </c>
      <c r="F402" s="654"/>
    </row>
    <row r="403" spans="1:6" s="8" customFormat="1">
      <c r="A403" s="224" t="s">
        <v>214</v>
      </c>
      <c r="B403" s="272"/>
      <c r="C403" s="575">
        <f>C270+C281+C289+C298+C308+C318+C328+C337+C357+C365+C374+C392</f>
        <v>8185.7000000000016</v>
      </c>
      <c r="D403" s="225"/>
      <c r="E403" s="604"/>
      <c r="F403" s="230"/>
    </row>
    <row r="404" spans="1:6" s="8" customFormat="1">
      <c r="A404" s="649" t="s">
        <v>800</v>
      </c>
      <c r="B404" s="650"/>
      <c r="C404" s="650"/>
      <c r="D404" s="650"/>
      <c r="E404" s="650"/>
      <c r="F404" s="651"/>
    </row>
    <row r="405" spans="1:6" s="8" customFormat="1">
      <c r="A405" s="9">
        <v>29</v>
      </c>
      <c r="B405" s="256" t="s">
        <v>801</v>
      </c>
      <c r="C405" s="445">
        <f>SUM(C407+C416)</f>
        <v>788.1</v>
      </c>
      <c r="D405" s="540"/>
      <c r="E405" s="17"/>
      <c r="F405" s="634" t="s">
        <v>802</v>
      </c>
    </row>
    <row r="406" spans="1:6" s="8" customFormat="1">
      <c r="A406" s="545"/>
      <c r="B406" s="258"/>
      <c r="C406" s="544"/>
      <c r="D406" s="543"/>
      <c r="E406" s="600"/>
      <c r="F406" s="635"/>
    </row>
    <row r="407" spans="1:6" s="8" customFormat="1">
      <c r="A407" s="545" t="s">
        <v>11</v>
      </c>
      <c r="B407" s="258" t="s">
        <v>12</v>
      </c>
      <c r="C407" s="546">
        <f>SUM(C408:C415)</f>
        <v>347.5</v>
      </c>
      <c r="D407" s="599" t="s">
        <v>72</v>
      </c>
      <c r="E407" s="32" t="s">
        <v>9</v>
      </c>
      <c r="F407" s="635"/>
    </row>
    <row r="408" spans="1:6" s="8" customFormat="1">
      <c r="A408" s="545"/>
      <c r="B408" s="258" t="s">
        <v>17</v>
      </c>
      <c r="C408" s="546">
        <v>157</v>
      </c>
      <c r="D408" s="543" t="s">
        <v>15</v>
      </c>
      <c r="E408" s="600" t="s">
        <v>18</v>
      </c>
      <c r="F408" s="635"/>
    </row>
    <row r="409" spans="1:6" s="8" customFormat="1">
      <c r="A409" s="545"/>
      <c r="B409" s="259" t="s">
        <v>14</v>
      </c>
      <c r="C409" s="544">
        <v>52.6</v>
      </c>
      <c r="D409" s="543" t="s">
        <v>15</v>
      </c>
      <c r="E409" s="600" t="s">
        <v>18</v>
      </c>
      <c r="F409" s="635"/>
    </row>
    <row r="410" spans="1:6" s="8" customFormat="1">
      <c r="A410" s="545"/>
      <c r="B410" s="259" t="s">
        <v>47</v>
      </c>
      <c r="C410" s="544">
        <v>18.399999999999999</v>
      </c>
      <c r="D410" s="543" t="s">
        <v>15</v>
      </c>
      <c r="E410" s="600" t="s">
        <v>18</v>
      </c>
      <c r="F410" s="635"/>
    </row>
    <row r="411" spans="1:6" s="8" customFormat="1">
      <c r="A411" s="545"/>
      <c r="B411" s="259" t="s">
        <v>36</v>
      </c>
      <c r="C411" s="544">
        <v>56.7</v>
      </c>
      <c r="D411" s="543" t="s">
        <v>15</v>
      </c>
      <c r="E411" s="600" t="s">
        <v>18</v>
      </c>
      <c r="F411" s="635"/>
    </row>
    <row r="412" spans="1:6" s="8" customFormat="1">
      <c r="A412" s="545"/>
      <c r="B412" s="259" t="s">
        <v>573</v>
      </c>
      <c r="C412" s="544">
        <v>4.5999999999999996</v>
      </c>
      <c r="D412" s="543" t="s">
        <v>22</v>
      </c>
      <c r="E412" s="600" t="s">
        <v>18</v>
      </c>
      <c r="F412" s="635"/>
    </row>
    <row r="413" spans="1:6" s="8" customFormat="1">
      <c r="A413" s="545"/>
      <c r="B413" s="259" t="s">
        <v>104</v>
      </c>
      <c r="C413" s="544">
        <v>13</v>
      </c>
      <c r="D413" s="543" t="s">
        <v>22</v>
      </c>
      <c r="E413" s="600" t="s">
        <v>18</v>
      </c>
      <c r="F413" s="635"/>
    </row>
    <row r="414" spans="1:6" s="8" customFormat="1">
      <c r="A414" s="545"/>
      <c r="B414" s="259"/>
      <c r="C414" s="544"/>
      <c r="D414" s="543" t="s">
        <v>67</v>
      </c>
      <c r="E414" s="600" t="s">
        <v>68</v>
      </c>
      <c r="F414" s="635"/>
    </row>
    <row r="415" spans="1:6" s="8" customFormat="1">
      <c r="A415" s="545"/>
      <c r="B415" s="259"/>
      <c r="C415" s="544">
        <v>45.2</v>
      </c>
      <c r="D415" s="543" t="s">
        <v>32</v>
      </c>
      <c r="E415" s="600" t="s">
        <v>274</v>
      </c>
      <c r="F415" s="635"/>
    </row>
    <row r="416" spans="1:6" s="8" customFormat="1">
      <c r="A416" s="545" t="s">
        <v>29</v>
      </c>
      <c r="B416" s="258" t="s">
        <v>30</v>
      </c>
      <c r="C416" s="546">
        <f>SUM(C417:C422)</f>
        <v>440.6</v>
      </c>
      <c r="D416" s="599" t="s">
        <v>72</v>
      </c>
      <c r="E416" s="32" t="s">
        <v>9</v>
      </c>
      <c r="F416" s="635"/>
    </row>
    <row r="417" spans="1:6" s="8" customFormat="1">
      <c r="A417" s="545"/>
      <c r="B417" s="259" t="s">
        <v>17</v>
      </c>
      <c r="C417" s="544">
        <v>61.6</v>
      </c>
      <c r="D417" s="543" t="s">
        <v>15</v>
      </c>
      <c r="E417" s="600" t="s">
        <v>18</v>
      </c>
      <c r="F417" s="635"/>
    </row>
    <row r="418" spans="1:6" s="8" customFormat="1">
      <c r="A418" s="545"/>
      <c r="B418" s="259" t="s">
        <v>14</v>
      </c>
      <c r="C418" s="544">
        <v>14.2</v>
      </c>
      <c r="D418" s="543" t="s">
        <v>15</v>
      </c>
      <c r="E418" s="600" t="s">
        <v>18</v>
      </c>
      <c r="F418" s="635"/>
    </row>
    <row r="419" spans="1:6" s="8" customFormat="1">
      <c r="A419" s="545"/>
      <c r="B419" s="259" t="s">
        <v>47</v>
      </c>
      <c r="C419" s="544">
        <v>18.600000000000001</v>
      </c>
      <c r="D419" s="543" t="s">
        <v>20</v>
      </c>
      <c r="E419" s="600" t="s">
        <v>18</v>
      </c>
      <c r="F419" s="635"/>
    </row>
    <row r="420" spans="1:6" s="8" customFormat="1">
      <c r="A420" s="545"/>
      <c r="B420" s="259" t="s">
        <v>36</v>
      </c>
      <c r="C420" s="544">
        <v>275.7</v>
      </c>
      <c r="D420" s="543" t="s">
        <v>15</v>
      </c>
      <c r="E420" s="600" t="s">
        <v>18</v>
      </c>
      <c r="F420" s="635"/>
    </row>
    <row r="421" spans="1:6" s="8" customFormat="1">
      <c r="A421" s="545"/>
      <c r="B421" s="259"/>
      <c r="C421" s="544">
        <v>70.5</v>
      </c>
      <c r="D421" s="543" t="s">
        <v>32</v>
      </c>
      <c r="E421" s="600" t="s">
        <v>803</v>
      </c>
      <c r="F421" s="635"/>
    </row>
    <row r="422" spans="1:6" s="8" customFormat="1">
      <c r="A422" s="304"/>
      <c r="B422" s="262"/>
      <c r="C422" s="305"/>
      <c r="D422" s="228"/>
      <c r="E422" s="229"/>
      <c r="F422" s="636"/>
    </row>
    <row r="423" spans="1:6" s="8" customFormat="1">
      <c r="A423" s="639" t="s">
        <v>804</v>
      </c>
      <c r="B423" s="640"/>
      <c r="C423" s="640"/>
      <c r="D423" s="640"/>
      <c r="E423" s="640"/>
      <c r="F423" s="641"/>
    </row>
    <row r="424" spans="1:6" s="8" customFormat="1">
      <c r="A424" s="213"/>
      <c r="B424" s="210"/>
      <c r="C424" s="453">
        <f>C425+C436</f>
        <v>910.30000000000007</v>
      </c>
      <c r="D424" s="38"/>
      <c r="E424" s="605"/>
      <c r="F424" s="38"/>
    </row>
    <row r="425" spans="1:6" s="8" customFormat="1">
      <c r="A425" s="233">
        <v>30</v>
      </c>
      <c r="B425" s="309" t="s">
        <v>826</v>
      </c>
      <c r="C425" s="307">
        <v>577.70000000000005</v>
      </c>
      <c r="D425" s="599" t="s">
        <v>72</v>
      </c>
      <c r="E425" s="32" t="s">
        <v>9</v>
      </c>
      <c r="F425" s="674" t="s">
        <v>805</v>
      </c>
    </row>
    <row r="426" spans="1:6" s="8" customFormat="1">
      <c r="A426" s="233"/>
      <c r="B426" s="274" t="s">
        <v>217</v>
      </c>
      <c r="C426" s="308">
        <v>91.5</v>
      </c>
      <c r="D426" s="234" t="s">
        <v>15</v>
      </c>
      <c r="E426" s="621" t="s">
        <v>18</v>
      </c>
      <c r="F426" s="674"/>
    </row>
    <row r="427" spans="1:6" s="8" customFormat="1">
      <c r="A427" s="233"/>
      <c r="B427" s="274" t="s">
        <v>504</v>
      </c>
      <c r="C427" s="308">
        <v>13.7</v>
      </c>
      <c r="D427" s="234" t="s">
        <v>15</v>
      </c>
      <c r="E427" s="621" t="s">
        <v>18</v>
      </c>
      <c r="F427" s="674"/>
    </row>
    <row r="428" spans="1:6" s="8" customFormat="1">
      <c r="A428" s="233"/>
      <c r="B428" s="274" t="s">
        <v>75</v>
      </c>
      <c r="C428" s="308">
        <v>61.7</v>
      </c>
      <c r="D428" s="234" t="s">
        <v>15</v>
      </c>
      <c r="E428" s="621" t="s">
        <v>18</v>
      </c>
      <c r="F428" s="674"/>
    </row>
    <row r="429" spans="1:6" s="8" customFormat="1">
      <c r="A429" s="233"/>
      <c r="B429" s="274" t="s">
        <v>174</v>
      </c>
      <c r="C429" s="308">
        <v>12.9</v>
      </c>
      <c r="D429" s="234" t="s">
        <v>27</v>
      </c>
      <c r="E429" s="621" t="s">
        <v>42</v>
      </c>
      <c r="F429" s="674"/>
    </row>
    <row r="430" spans="1:6" s="8" customFormat="1">
      <c r="A430" s="233"/>
      <c r="B430" s="274" t="s">
        <v>806</v>
      </c>
      <c r="C430" s="308">
        <v>17.600000000000001</v>
      </c>
      <c r="D430" s="234" t="s">
        <v>15</v>
      </c>
      <c r="E430" s="621" t="s">
        <v>42</v>
      </c>
      <c r="F430" s="674"/>
    </row>
    <row r="431" spans="1:6" s="8" customFormat="1">
      <c r="A431" s="233"/>
      <c r="B431" s="274" t="s">
        <v>559</v>
      </c>
      <c r="C431" s="308">
        <v>173</v>
      </c>
      <c r="D431" s="234" t="s">
        <v>700</v>
      </c>
      <c r="E431" s="621" t="s">
        <v>42</v>
      </c>
      <c r="F431" s="674"/>
    </row>
    <row r="432" spans="1:6" s="8" customFormat="1">
      <c r="A432" s="233"/>
      <c r="B432" s="274" t="s">
        <v>40</v>
      </c>
      <c r="C432" s="308">
        <v>12.1</v>
      </c>
      <c r="D432" s="234" t="s">
        <v>15</v>
      </c>
      <c r="E432" s="621" t="s">
        <v>42</v>
      </c>
      <c r="F432" s="674"/>
    </row>
    <row r="433" spans="1:6" s="8" customFormat="1">
      <c r="A433" s="233"/>
      <c r="B433" s="274" t="s">
        <v>47</v>
      </c>
      <c r="C433" s="308">
        <v>81.7</v>
      </c>
      <c r="D433" s="234" t="s">
        <v>15</v>
      </c>
      <c r="E433" s="621" t="s">
        <v>18</v>
      </c>
      <c r="F433" s="674"/>
    </row>
    <row r="434" spans="1:6" s="8" customFormat="1">
      <c r="A434" s="233"/>
      <c r="B434" s="274" t="s">
        <v>39</v>
      </c>
      <c r="C434" s="308">
        <v>97.2</v>
      </c>
      <c r="D434" s="234" t="s">
        <v>15</v>
      </c>
      <c r="E434" s="621" t="s">
        <v>18</v>
      </c>
      <c r="F434" s="674"/>
    </row>
    <row r="435" spans="1:6" s="8" customFormat="1">
      <c r="A435" s="233"/>
      <c r="B435" s="274" t="s">
        <v>19</v>
      </c>
      <c r="C435" s="308">
        <v>13.5</v>
      </c>
      <c r="D435" s="234" t="s">
        <v>15</v>
      </c>
      <c r="E435" s="621" t="s">
        <v>18</v>
      </c>
      <c r="F435" s="674"/>
    </row>
    <row r="436" spans="1:6" s="8" customFormat="1">
      <c r="A436" s="233"/>
      <c r="B436" s="309" t="s">
        <v>30</v>
      </c>
      <c r="C436" s="236">
        <f>SUM(C437:C444)</f>
        <v>332.6</v>
      </c>
      <c r="D436" s="599" t="s">
        <v>72</v>
      </c>
      <c r="E436" s="32" t="s">
        <v>9</v>
      </c>
      <c r="F436" s="674"/>
    </row>
    <row r="437" spans="1:6" s="8" customFormat="1">
      <c r="A437" s="235"/>
      <c r="B437" s="274" t="s">
        <v>807</v>
      </c>
      <c r="C437" s="306">
        <v>116.6</v>
      </c>
      <c r="D437" s="234" t="s">
        <v>15</v>
      </c>
      <c r="E437" s="621" t="s">
        <v>18</v>
      </c>
      <c r="F437" s="674"/>
    </row>
    <row r="438" spans="1:6" s="8" customFormat="1">
      <c r="A438" s="233"/>
      <c r="B438" s="274" t="s">
        <v>808</v>
      </c>
      <c r="C438" s="306">
        <v>46.9</v>
      </c>
      <c r="D438" s="234" t="s">
        <v>67</v>
      </c>
      <c r="E438" s="621" t="s">
        <v>42</v>
      </c>
      <c r="F438" s="674"/>
    </row>
    <row r="439" spans="1:6" s="8" customFormat="1">
      <c r="A439" s="233"/>
      <c r="B439" s="274" t="s">
        <v>233</v>
      </c>
      <c r="C439" s="306">
        <v>65.099999999999994</v>
      </c>
      <c r="D439" s="234" t="s">
        <v>15</v>
      </c>
      <c r="E439" s="621" t="s">
        <v>18</v>
      </c>
      <c r="F439" s="674"/>
    </row>
    <row r="440" spans="1:6" s="8" customFormat="1">
      <c r="A440" s="233"/>
      <c r="B440" s="274" t="s">
        <v>249</v>
      </c>
      <c r="C440" s="306">
        <v>6.9</v>
      </c>
      <c r="D440" s="234" t="s">
        <v>15</v>
      </c>
      <c r="E440" s="621" t="s">
        <v>42</v>
      </c>
      <c r="F440" s="674"/>
    </row>
    <row r="441" spans="1:6" s="8" customFormat="1">
      <c r="A441" s="233"/>
      <c r="B441" s="274" t="s">
        <v>809</v>
      </c>
      <c r="C441" s="306">
        <v>3.2</v>
      </c>
      <c r="D441" s="234" t="s">
        <v>15</v>
      </c>
      <c r="E441" s="621" t="s">
        <v>18</v>
      </c>
      <c r="F441" s="674"/>
    </row>
    <row r="442" spans="1:6" s="8" customFormat="1">
      <c r="A442" s="233"/>
      <c r="B442" s="274" t="s">
        <v>245</v>
      </c>
      <c r="C442" s="306">
        <v>44.1</v>
      </c>
      <c r="D442" s="234" t="s">
        <v>27</v>
      </c>
      <c r="E442" s="621" t="s">
        <v>810</v>
      </c>
      <c r="F442" s="674"/>
    </row>
    <row r="443" spans="1:6" s="8" customFormat="1">
      <c r="A443" s="233"/>
      <c r="B443" s="274" t="s">
        <v>811</v>
      </c>
      <c r="C443" s="306">
        <v>14.5</v>
      </c>
      <c r="D443" s="234" t="s">
        <v>15</v>
      </c>
      <c r="E443" s="621" t="s">
        <v>810</v>
      </c>
      <c r="F443" s="674"/>
    </row>
    <row r="444" spans="1:6" s="8" customFormat="1">
      <c r="A444" s="233"/>
      <c r="B444" s="274" t="s">
        <v>812</v>
      </c>
      <c r="C444" s="306">
        <v>35.299999999999997</v>
      </c>
      <c r="D444" s="620" t="s">
        <v>15</v>
      </c>
      <c r="E444" s="622" t="s">
        <v>813</v>
      </c>
      <c r="F444" s="674"/>
    </row>
    <row r="445" spans="1:6" s="8" customFormat="1">
      <c r="A445" s="313"/>
      <c r="B445" s="273" t="s">
        <v>827</v>
      </c>
      <c r="C445" s="454">
        <f>C446+C447+C448+C449+C450+C451+C452+C453+C454+C455</f>
        <v>802.74999999999989</v>
      </c>
      <c r="D445" s="599" t="s">
        <v>72</v>
      </c>
      <c r="E445" s="32" t="s">
        <v>9</v>
      </c>
      <c r="F445" s="315"/>
    </row>
    <row r="446" spans="1:6" s="8" customFormat="1">
      <c r="A446" s="233"/>
      <c r="B446" s="274" t="s">
        <v>47</v>
      </c>
      <c r="C446" s="306">
        <v>81.7</v>
      </c>
      <c r="D446" s="234" t="s">
        <v>15</v>
      </c>
      <c r="E446" s="312" t="s">
        <v>810</v>
      </c>
      <c r="F446" s="674" t="s">
        <v>828</v>
      </c>
    </row>
    <row r="447" spans="1:6" s="8" customFormat="1">
      <c r="A447" s="233"/>
      <c r="B447" s="274" t="s">
        <v>514</v>
      </c>
      <c r="C447" s="312">
        <v>144.9</v>
      </c>
      <c r="D447" s="234" t="s">
        <v>15</v>
      </c>
      <c r="E447" s="312" t="s">
        <v>42</v>
      </c>
      <c r="F447" s="674"/>
    </row>
    <row r="448" spans="1:6" s="8" customFormat="1">
      <c r="A448" s="233"/>
      <c r="B448" s="274" t="s">
        <v>492</v>
      </c>
      <c r="C448" s="306">
        <v>19.7</v>
      </c>
      <c r="D448" s="234" t="s">
        <v>15</v>
      </c>
      <c r="E448" s="312" t="s">
        <v>42</v>
      </c>
      <c r="F448" s="674"/>
    </row>
    <row r="449" spans="1:13" s="8" customFormat="1">
      <c r="A449" s="233"/>
      <c r="B449" s="274" t="s">
        <v>814</v>
      </c>
      <c r="C449" s="312">
        <v>14</v>
      </c>
      <c r="D449" s="234" t="s">
        <v>15</v>
      </c>
      <c r="E449" s="312" t="s">
        <v>18</v>
      </c>
      <c r="F449" s="674"/>
    </row>
    <row r="450" spans="1:13" s="8" customFormat="1">
      <c r="A450" s="233"/>
      <c r="B450" s="274" t="s">
        <v>815</v>
      </c>
      <c r="C450" s="312">
        <v>87.85</v>
      </c>
      <c r="D450" s="234" t="s">
        <v>15</v>
      </c>
      <c r="E450" s="312" t="s">
        <v>42</v>
      </c>
      <c r="F450" s="674"/>
    </row>
    <row r="451" spans="1:13" s="8" customFormat="1">
      <c r="A451" s="233"/>
      <c r="B451" s="275" t="s">
        <v>816</v>
      </c>
      <c r="C451" s="306">
        <v>117.8</v>
      </c>
      <c r="D451" s="234" t="s">
        <v>15</v>
      </c>
      <c r="E451" s="306" t="s">
        <v>18</v>
      </c>
      <c r="F451" s="674"/>
    </row>
    <row r="452" spans="1:13" s="8" customFormat="1">
      <c r="A452" s="233"/>
      <c r="B452" s="275" t="s">
        <v>238</v>
      </c>
      <c r="C452" s="306">
        <v>37.200000000000003</v>
      </c>
      <c r="D452" s="234" t="s">
        <v>15</v>
      </c>
      <c r="E452" s="306" t="s">
        <v>42</v>
      </c>
      <c r="F452" s="674"/>
      <c r="M452" s="6"/>
    </row>
    <row r="453" spans="1:13" s="8" customFormat="1">
      <c r="A453" s="231"/>
      <c r="B453" s="275" t="s">
        <v>817</v>
      </c>
      <c r="C453" s="306">
        <v>52.8</v>
      </c>
      <c r="D453" s="234" t="s">
        <v>15</v>
      </c>
      <c r="E453" s="306" t="s">
        <v>16</v>
      </c>
      <c r="F453" s="674"/>
    </row>
    <row r="454" spans="1:13" s="8" customFormat="1">
      <c r="A454" s="231"/>
      <c r="B454" s="275" t="s">
        <v>21</v>
      </c>
      <c r="C454" s="306">
        <v>4.8</v>
      </c>
      <c r="D454" s="234" t="s">
        <v>15</v>
      </c>
      <c r="E454" s="306" t="s">
        <v>18</v>
      </c>
      <c r="F454" s="674"/>
    </row>
    <row r="455" spans="1:13" s="8" customFormat="1">
      <c r="A455" s="231"/>
      <c r="B455" s="276" t="s">
        <v>818</v>
      </c>
      <c r="C455" s="238">
        <f>SUM(C456)</f>
        <v>242</v>
      </c>
      <c r="D455" s="237"/>
      <c r="E455" s="312"/>
      <c r="F455" s="674"/>
    </row>
    <row r="456" spans="1:13" s="8" customFormat="1">
      <c r="A456" s="232"/>
      <c r="B456" s="310" t="s">
        <v>819</v>
      </c>
      <c r="C456" s="311">
        <v>242</v>
      </c>
      <c r="D456" s="314">
        <v>3</v>
      </c>
      <c r="E456" s="311" t="s">
        <v>18</v>
      </c>
      <c r="F456" s="675"/>
    </row>
    <row r="457" spans="1:13" s="8" customFormat="1">
      <c r="A457" s="232"/>
      <c r="B457" s="480"/>
      <c r="C457" s="587">
        <f>C424+C445</f>
        <v>1713.05</v>
      </c>
      <c r="D457" s="311"/>
      <c r="E457" s="311"/>
      <c r="F457" s="481"/>
    </row>
    <row r="458" spans="1:13" s="6" customFormat="1" ht="15.75">
      <c r="A458" s="486"/>
      <c r="B458" s="482"/>
      <c r="C458" s="483">
        <f>C75+C77+C91+C120+C135+C186+C188+C235+C255+C403+C405+C457</f>
        <v>22850.05</v>
      </c>
      <c r="D458" s="484"/>
      <c r="E458" s="484"/>
      <c r="F458" s="485"/>
    </row>
    <row r="459" spans="1:13" ht="15.75">
      <c r="A459" s="676" t="s">
        <v>662</v>
      </c>
      <c r="B459" s="677"/>
      <c r="C459" s="677"/>
      <c r="D459" s="677"/>
      <c r="E459" s="677"/>
      <c r="F459" s="678"/>
    </row>
    <row r="460" spans="1:13">
      <c r="A460" s="679" t="s">
        <v>7</v>
      </c>
      <c r="B460" s="680"/>
      <c r="C460" s="680"/>
      <c r="D460" s="680"/>
      <c r="E460" s="680"/>
      <c r="F460" s="681"/>
    </row>
    <row r="461" spans="1:13">
      <c r="A461" s="9">
        <v>1</v>
      </c>
      <c r="B461" s="277" t="s">
        <v>8</v>
      </c>
      <c r="C461" s="10"/>
      <c r="D461" s="540"/>
      <c r="E461" s="7"/>
      <c r="F461" s="634" t="s">
        <v>10</v>
      </c>
    </row>
    <row r="462" spans="1:13">
      <c r="A462" s="545" t="s">
        <v>11</v>
      </c>
      <c r="B462" s="278" t="s">
        <v>12</v>
      </c>
      <c r="C462" s="11">
        <f>SUM(C463:C470)</f>
        <v>496</v>
      </c>
      <c r="D462" s="543" t="s">
        <v>72</v>
      </c>
      <c r="E462" s="32" t="s">
        <v>9</v>
      </c>
      <c r="F462" s="635"/>
    </row>
    <row r="463" spans="1:13">
      <c r="A463" s="545"/>
      <c r="B463" s="266" t="s">
        <v>14</v>
      </c>
      <c r="C463" s="538">
        <f>70</f>
        <v>70</v>
      </c>
      <c r="D463" s="543" t="s">
        <v>15</v>
      </c>
      <c r="E463" s="32" t="s">
        <v>16</v>
      </c>
      <c r="F463" s="635"/>
    </row>
    <row r="464" spans="1:13">
      <c r="A464" s="545"/>
      <c r="B464" s="266" t="s">
        <v>17</v>
      </c>
      <c r="C464" s="538">
        <f>52.8+22.23+10.1+25.4+24.6+11.76+35.78+39.2+23.78</f>
        <v>245.65</v>
      </c>
      <c r="D464" s="543" t="s">
        <v>15</v>
      </c>
      <c r="E464" s="32" t="s">
        <v>18</v>
      </c>
      <c r="F464" s="635"/>
    </row>
    <row r="465" spans="1:6">
      <c r="A465" s="545"/>
      <c r="B465" s="266" t="s">
        <v>19</v>
      </c>
      <c r="C465" s="538">
        <v>15.4</v>
      </c>
      <c r="D465" s="543" t="s">
        <v>20</v>
      </c>
      <c r="E465" s="32" t="s">
        <v>18</v>
      </c>
      <c r="F465" s="635"/>
    </row>
    <row r="466" spans="1:6">
      <c r="A466" s="545"/>
      <c r="B466" s="266" t="s">
        <v>21</v>
      </c>
      <c r="C466" s="538">
        <v>10.25</v>
      </c>
      <c r="D466" s="543" t="s">
        <v>22</v>
      </c>
      <c r="E466" s="32" t="s">
        <v>18</v>
      </c>
      <c r="F466" s="635"/>
    </row>
    <row r="467" spans="1:6">
      <c r="A467" s="545"/>
      <c r="B467" s="266" t="s">
        <v>23</v>
      </c>
      <c r="C467" s="538">
        <v>20.6</v>
      </c>
      <c r="D467" s="543" t="s">
        <v>15</v>
      </c>
      <c r="E467" s="32" t="s">
        <v>18</v>
      </c>
      <c r="F467" s="635"/>
    </row>
    <row r="468" spans="1:6">
      <c r="A468" s="545"/>
      <c r="B468" s="266" t="s">
        <v>24</v>
      </c>
      <c r="C468" s="538">
        <v>34.5</v>
      </c>
      <c r="D468" s="543" t="s">
        <v>15</v>
      </c>
      <c r="E468" s="32" t="s">
        <v>18</v>
      </c>
      <c r="F468" s="635"/>
    </row>
    <row r="469" spans="1:6">
      <c r="A469" s="545"/>
      <c r="B469" s="266" t="s">
        <v>25</v>
      </c>
      <c r="C469" s="538">
        <v>75</v>
      </c>
      <c r="D469" s="543" t="s">
        <v>15</v>
      </c>
      <c r="E469" s="603" t="s">
        <v>16</v>
      </c>
      <c r="F469" s="635"/>
    </row>
    <row r="470" spans="1:6">
      <c r="A470" s="545"/>
      <c r="B470" s="266" t="s">
        <v>26</v>
      </c>
      <c r="C470" s="538">
        <v>24.6</v>
      </c>
      <c r="D470" s="543" t="s">
        <v>27</v>
      </c>
      <c r="E470" s="32" t="s">
        <v>28</v>
      </c>
      <c r="F470" s="635"/>
    </row>
    <row r="471" spans="1:6">
      <c r="A471" s="9"/>
      <c r="B471" s="206"/>
      <c r="C471" s="89">
        <f>C472+C480</f>
        <v>937.27</v>
      </c>
      <c r="D471" s="41"/>
      <c r="E471" s="17"/>
      <c r="F471" s="669" t="s">
        <v>31</v>
      </c>
    </row>
    <row r="472" spans="1:6">
      <c r="A472" s="545" t="s">
        <v>29</v>
      </c>
      <c r="B472" s="140" t="s">
        <v>30</v>
      </c>
      <c r="C472" s="546">
        <f>SUM(C473:C479)</f>
        <v>499.59999999999997</v>
      </c>
      <c r="D472" s="543" t="s">
        <v>72</v>
      </c>
      <c r="E472" s="600" t="s">
        <v>9</v>
      </c>
      <c r="F472" s="670"/>
    </row>
    <row r="473" spans="1:6">
      <c r="A473" s="545"/>
      <c r="B473" s="537" t="s">
        <v>17</v>
      </c>
      <c r="C473" s="544">
        <f>10.5+25+11.5+13.4+10.6</f>
        <v>71</v>
      </c>
      <c r="D473" s="543" t="s">
        <v>15</v>
      </c>
      <c r="E473" s="600" t="s">
        <v>18</v>
      </c>
      <c r="F473" s="670"/>
    </row>
    <row r="474" spans="1:6">
      <c r="A474" s="545"/>
      <c r="B474" s="537" t="s">
        <v>33</v>
      </c>
      <c r="C474" s="544">
        <f>38.6+15.5+30.2</f>
        <v>84.3</v>
      </c>
      <c r="D474" s="543" t="s">
        <v>15</v>
      </c>
      <c r="E474" s="600" t="s">
        <v>18</v>
      </c>
      <c r="F474" s="670"/>
    </row>
    <row r="475" spans="1:6">
      <c r="A475" s="545"/>
      <c r="B475" s="537" t="s">
        <v>14</v>
      </c>
      <c r="C475" s="544">
        <f>17.55+8.3</f>
        <v>25.85</v>
      </c>
      <c r="D475" s="543" t="s">
        <v>15</v>
      </c>
      <c r="E475" s="600" t="s">
        <v>18</v>
      </c>
      <c r="F475" s="670"/>
    </row>
    <row r="476" spans="1:6">
      <c r="A476" s="545"/>
      <c r="B476" s="537" t="s">
        <v>34</v>
      </c>
      <c r="C476" s="544">
        <v>56.3</v>
      </c>
      <c r="D476" s="543" t="s">
        <v>15</v>
      </c>
      <c r="E476" s="600" t="s">
        <v>16</v>
      </c>
      <c r="F476" s="670"/>
    </row>
    <row r="477" spans="1:6">
      <c r="A477" s="545"/>
      <c r="B477" s="537" t="s">
        <v>35</v>
      </c>
      <c r="C477" s="544">
        <f>40.5</f>
        <v>40.5</v>
      </c>
      <c r="D477" s="543" t="s">
        <v>20</v>
      </c>
      <c r="E477" s="600" t="s">
        <v>16</v>
      </c>
      <c r="F477" s="670"/>
    </row>
    <row r="478" spans="1:6">
      <c r="A478" s="545"/>
      <c r="B478" s="537" t="s">
        <v>36</v>
      </c>
      <c r="C478" s="544">
        <f>30.8+33+65+42.82+39.5</f>
        <v>211.12</v>
      </c>
      <c r="D478" s="543" t="s">
        <v>15</v>
      </c>
      <c r="E478" s="600" t="s">
        <v>18</v>
      </c>
      <c r="F478" s="670"/>
    </row>
    <row r="479" spans="1:6">
      <c r="A479" s="545"/>
      <c r="B479" s="537" t="s">
        <v>21</v>
      </c>
      <c r="C479" s="544">
        <v>10.53</v>
      </c>
      <c r="D479" s="543" t="s">
        <v>22</v>
      </c>
      <c r="E479" s="600" t="s">
        <v>18</v>
      </c>
      <c r="F479" s="671"/>
    </row>
    <row r="480" spans="1:6">
      <c r="A480" s="9" t="s">
        <v>37</v>
      </c>
      <c r="B480" s="281" t="s">
        <v>38</v>
      </c>
      <c r="C480" s="89">
        <f>SUM(C481:C487)</f>
        <v>437.67</v>
      </c>
      <c r="D480" s="41" t="s">
        <v>72</v>
      </c>
      <c r="E480" s="7" t="s">
        <v>9</v>
      </c>
      <c r="F480" s="669" t="s">
        <v>878</v>
      </c>
    </row>
    <row r="481" spans="1:6">
      <c r="A481" s="545"/>
      <c r="B481" s="537" t="s">
        <v>17</v>
      </c>
      <c r="C481" s="544">
        <f>32+11.34+13.5+17.4+15.8+15.5+9.8+14+49.2</f>
        <v>178.54000000000002</v>
      </c>
      <c r="D481" s="543" t="s">
        <v>15</v>
      </c>
      <c r="E481" s="32" t="s">
        <v>18</v>
      </c>
      <c r="F481" s="670"/>
    </row>
    <row r="482" spans="1:6">
      <c r="A482" s="545"/>
      <c r="B482" s="537" t="s">
        <v>39</v>
      </c>
      <c r="C482" s="544">
        <v>39.6</v>
      </c>
      <c r="D482" s="543" t="s">
        <v>15</v>
      </c>
      <c r="E482" s="32" t="s">
        <v>16</v>
      </c>
      <c r="F482" s="670"/>
    </row>
    <row r="483" spans="1:6">
      <c r="A483" s="545"/>
      <c r="B483" s="537" t="s">
        <v>40</v>
      </c>
      <c r="C483" s="544">
        <v>12</v>
      </c>
      <c r="D483" s="543" t="s">
        <v>15</v>
      </c>
      <c r="E483" s="32" t="s">
        <v>28</v>
      </c>
      <c r="F483" s="670"/>
    </row>
    <row r="484" spans="1:6">
      <c r="A484" s="545"/>
      <c r="B484" s="537" t="s">
        <v>34</v>
      </c>
      <c r="C484" s="544">
        <v>56.3</v>
      </c>
      <c r="D484" s="543" t="s">
        <v>15</v>
      </c>
      <c r="E484" s="32" t="s">
        <v>16</v>
      </c>
      <c r="F484" s="670"/>
    </row>
    <row r="485" spans="1:6">
      <c r="A485" s="545"/>
      <c r="B485" s="537" t="s">
        <v>35</v>
      </c>
      <c r="C485" s="544">
        <f>13.3+13.3+13.3</f>
        <v>39.900000000000006</v>
      </c>
      <c r="D485" s="543" t="s">
        <v>20</v>
      </c>
      <c r="E485" s="32" t="s">
        <v>16</v>
      </c>
      <c r="F485" s="670"/>
    </row>
    <row r="486" spans="1:6">
      <c r="A486" s="545"/>
      <c r="B486" s="537" t="s">
        <v>21</v>
      </c>
      <c r="C486" s="544">
        <v>10.53</v>
      </c>
      <c r="D486" s="543" t="s">
        <v>22</v>
      </c>
      <c r="E486" s="32" t="s">
        <v>18</v>
      </c>
      <c r="F486" s="670"/>
    </row>
    <row r="487" spans="1:6">
      <c r="A487" s="13"/>
      <c r="B487" s="141" t="s">
        <v>41</v>
      </c>
      <c r="C487" s="22">
        <v>100.8</v>
      </c>
      <c r="D487" s="42" t="s">
        <v>15</v>
      </c>
      <c r="E487" s="91" t="s">
        <v>42</v>
      </c>
      <c r="F487" s="671"/>
    </row>
    <row r="488" spans="1:6">
      <c r="A488" s="545">
        <v>2</v>
      </c>
      <c r="B488" s="140"/>
      <c r="C488" s="97">
        <f>C490+C499</f>
        <v>642.09999999999991</v>
      </c>
      <c r="D488" s="541"/>
      <c r="E488" s="603"/>
      <c r="F488" s="635" t="s">
        <v>44</v>
      </c>
    </row>
    <row r="489" spans="1:6">
      <c r="A489" s="545"/>
      <c r="B489" s="140" t="s">
        <v>43</v>
      </c>
      <c r="C489" s="97"/>
      <c r="D489" s="541"/>
      <c r="E489" s="603"/>
      <c r="F489" s="635"/>
    </row>
    <row r="490" spans="1:6">
      <c r="A490" s="545" t="s">
        <v>11</v>
      </c>
      <c r="B490" s="140" t="s">
        <v>12</v>
      </c>
      <c r="C490" s="97">
        <f>SUM(C491:C498)</f>
        <v>556.69999999999993</v>
      </c>
      <c r="D490" s="543" t="s">
        <v>72</v>
      </c>
      <c r="E490" s="603" t="s">
        <v>9</v>
      </c>
      <c r="F490" s="635"/>
    </row>
    <row r="491" spans="1:6">
      <c r="A491" s="545"/>
      <c r="B491" s="537" t="s">
        <v>17</v>
      </c>
      <c r="C491" s="32">
        <f>34.3+46+15.8+34.1+33.6+34.2+16.1</f>
        <v>214.1</v>
      </c>
      <c r="D491" s="543" t="s">
        <v>15</v>
      </c>
      <c r="E491" s="603" t="s">
        <v>18</v>
      </c>
      <c r="F491" s="635"/>
    </row>
    <row r="492" spans="1:6">
      <c r="A492" s="545"/>
      <c r="B492" s="537" t="s">
        <v>14</v>
      </c>
      <c r="C492" s="32">
        <f>126.6</f>
        <v>126.6</v>
      </c>
      <c r="D492" s="543" t="s">
        <v>15</v>
      </c>
      <c r="E492" s="603" t="s">
        <v>16</v>
      </c>
      <c r="F492" s="635"/>
    </row>
    <row r="493" spans="1:6">
      <c r="A493" s="545"/>
      <c r="B493" s="537" t="s">
        <v>26</v>
      </c>
      <c r="C493" s="32">
        <v>17.2</v>
      </c>
      <c r="D493" s="543" t="s">
        <v>15</v>
      </c>
      <c r="E493" s="603" t="s">
        <v>28</v>
      </c>
      <c r="F493" s="635"/>
    </row>
    <row r="494" spans="1:6">
      <c r="A494" s="545"/>
      <c r="B494" s="537" t="s">
        <v>45</v>
      </c>
      <c r="C494" s="32">
        <f>3+3.1</f>
        <v>6.1</v>
      </c>
      <c r="D494" s="543" t="s">
        <v>15</v>
      </c>
      <c r="E494" s="603" t="s">
        <v>42</v>
      </c>
      <c r="F494" s="635"/>
    </row>
    <row r="495" spans="1:6">
      <c r="A495" s="545"/>
      <c r="B495" s="537" t="s">
        <v>21</v>
      </c>
      <c r="C495" s="32">
        <f>1.4+1.3+1.4+1.8+1.6</f>
        <v>7.5</v>
      </c>
      <c r="D495" s="543" t="s">
        <v>22</v>
      </c>
      <c r="E495" s="603" t="s">
        <v>18</v>
      </c>
      <c r="F495" s="635"/>
    </row>
    <row r="496" spans="1:6">
      <c r="A496" s="545"/>
      <c r="B496" s="537" t="s">
        <v>36</v>
      </c>
      <c r="C496" s="32">
        <f>16.6+14.2+87.4</f>
        <v>118.2</v>
      </c>
      <c r="D496" s="543" t="s">
        <v>15</v>
      </c>
      <c r="E496" s="603" t="s">
        <v>18</v>
      </c>
      <c r="F496" s="635"/>
    </row>
    <row r="497" spans="1:6">
      <c r="A497" s="545"/>
      <c r="B497" s="537" t="s">
        <v>46</v>
      </c>
      <c r="C497" s="32">
        <v>40.6</v>
      </c>
      <c r="D497" s="543" t="s">
        <v>15</v>
      </c>
      <c r="E497" s="603" t="s">
        <v>42</v>
      </c>
      <c r="F497" s="635"/>
    </row>
    <row r="498" spans="1:6">
      <c r="A498" s="545"/>
      <c r="B498" s="537" t="s">
        <v>47</v>
      </c>
      <c r="C498" s="32">
        <f>13.1+13.3</f>
        <v>26.4</v>
      </c>
      <c r="D498" s="543" t="s">
        <v>20</v>
      </c>
      <c r="E498" s="603" t="s">
        <v>18</v>
      </c>
      <c r="F498" s="635"/>
    </row>
    <row r="499" spans="1:6">
      <c r="A499" s="545"/>
      <c r="B499" s="140" t="s">
        <v>48</v>
      </c>
      <c r="C499" s="97">
        <f>C500+C501+C503</f>
        <v>85.4</v>
      </c>
      <c r="D499" s="543" t="s">
        <v>13</v>
      </c>
      <c r="E499" s="603" t="s">
        <v>9</v>
      </c>
      <c r="F499" s="635"/>
    </row>
    <row r="500" spans="1:6">
      <c r="A500" s="545"/>
      <c r="B500" s="537" t="s">
        <v>47</v>
      </c>
      <c r="C500" s="32">
        <f>10.4+7.6</f>
        <v>18</v>
      </c>
      <c r="D500" s="543" t="s">
        <v>20</v>
      </c>
      <c r="E500" s="603" t="s">
        <v>18</v>
      </c>
      <c r="F500" s="635"/>
    </row>
    <row r="501" spans="1:6">
      <c r="A501" s="545"/>
      <c r="B501" s="537" t="s">
        <v>39</v>
      </c>
      <c r="C501" s="32">
        <v>20.3</v>
      </c>
      <c r="D501" s="543" t="s">
        <v>15</v>
      </c>
      <c r="E501" s="603" t="s">
        <v>18</v>
      </c>
      <c r="F501" s="635"/>
    </row>
    <row r="502" spans="1:6">
      <c r="A502" s="545"/>
      <c r="B502" s="537" t="s">
        <v>49</v>
      </c>
      <c r="C502" s="32">
        <v>34.4</v>
      </c>
      <c r="D502" s="543" t="s">
        <v>15</v>
      </c>
      <c r="E502" s="603" t="s">
        <v>28</v>
      </c>
      <c r="F502" s="635"/>
    </row>
    <row r="503" spans="1:6">
      <c r="A503" s="545"/>
      <c r="B503" s="141" t="s">
        <v>26</v>
      </c>
      <c r="C503" s="32">
        <f>47.1</f>
        <v>47.1</v>
      </c>
      <c r="D503" s="543" t="s">
        <v>15</v>
      </c>
      <c r="E503" s="603" t="s">
        <v>28</v>
      </c>
      <c r="F503" s="635"/>
    </row>
    <row r="504" spans="1:6">
      <c r="A504" s="672" t="s">
        <v>29</v>
      </c>
      <c r="B504" s="537"/>
      <c r="C504" s="39">
        <f>C505+C513</f>
        <v>890.5</v>
      </c>
      <c r="D504" s="41"/>
      <c r="E504" s="602"/>
      <c r="F504" s="634" t="s">
        <v>50</v>
      </c>
    </row>
    <row r="505" spans="1:6">
      <c r="A505" s="673"/>
      <c r="B505" s="140" t="s">
        <v>30</v>
      </c>
      <c r="C505" s="18">
        <f>SUM(C506:C512)</f>
        <v>729.19999999999993</v>
      </c>
      <c r="D505" s="599" t="s">
        <v>72</v>
      </c>
      <c r="E505" s="600" t="s">
        <v>9</v>
      </c>
      <c r="F505" s="635"/>
    </row>
    <row r="506" spans="1:6">
      <c r="A506" s="673"/>
      <c r="B506" s="537" t="s">
        <v>17</v>
      </c>
      <c r="C506" s="541">
        <f>16.9+19+11.3+11.6+4+4</f>
        <v>66.800000000000011</v>
      </c>
      <c r="D506" s="543" t="s">
        <v>15</v>
      </c>
      <c r="E506" s="603" t="s">
        <v>18</v>
      </c>
      <c r="F506" s="635"/>
    </row>
    <row r="507" spans="1:6">
      <c r="A507" s="673"/>
      <c r="B507" s="537" t="s">
        <v>39</v>
      </c>
      <c r="C507" s="541">
        <f>17.7+123.4</f>
        <v>141.1</v>
      </c>
      <c r="D507" s="543" t="s">
        <v>15</v>
      </c>
      <c r="E507" s="603" t="s">
        <v>18</v>
      </c>
      <c r="F507" s="635"/>
    </row>
    <row r="508" spans="1:6">
      <c r="A508" s="673"/>
      <c r="B508" s="537" t="s">
        <v>36</v>
      </c>
      <c r="C508" s="541">
        <f>101.6+34.8+17.5+16.1</f>
        <v>169.99999999999997</v>
      </c>
      <c r="D508" s="543" t="s">
        <v>15</v>
      </c>
      <c r="E508" s="603" t="s">
        <v>18</v>
      </c>
      <c r="F508" s="635"/>
    </row>
    <row r="509" spans="1:6">
      <c r="A509" s="673"/>
      <c r="B509" s="537" t="s">
        <v>21</v>
      </c>
      <c r="C509" s="541">
        <f>1.6+1.4</f>
        <v>3</v>
      </c>
      <c r="D509" s="543" t="s">
        <v>22</v>
      </c>
      <c r="E509" s="603" t="s">
        <v>18</v>
      </c>
      <c r="F509" s="635"/>
    </row>
    <row r="510" spans="1:6">
      <c r="A510" s="673"/>
      <c r="B510" s="537" t="s">
        <v>51</v>
      </c>
      <c r="C510" s="541">
        <v>33.9</v>
      </c>
      <c r="D510" s="543" t="s">
        <v>15</v>
      </c>
      <c r="E510" s="603" t="s">
        <v>28</v>
      </c>
      <c r="F510" s="635"/>
    </row>
    <row r="511" spans="1:6">
      <c r="A511" s="673"/>
      <c r="B511" s="537" t="s">
        <v>52</v>
      </c>
      <c r="C511" s="541">
        <v>301.39999999999998</v>
      </c>
      <c r="D511" s="543" t="s">
        <v>15</v>
      </c>
      <c r="E511" s="603" t="s">
        <v>28</v>
      </c>
      <c r="F511" s="635"/>
    </row>
    <row r="512" spans="1:6">
      <c r="A512" s="673"/>
      <c r="B512" s="537" t="s">
        <v>47</v>
      </c>
      <c r="C512" s="541">
        <f>13</f>
        <v>13</v>
      </c>
      <c r="D512" s="543" t="s">
        <v>20</v>
      </c>
      <c r="E512" s="603" t="s">
        <v>18</v>
      </c>
      <c r="F512" s="635"/>
    </row>
    <row r="513" spans="1:6">
      <c r="A513" s="541"/>
      <c r="B513" s="140" t="s">
        <v>53</v>
      </c>
      <c r="C513" s="18">
        <f>C514+C515+C516+C517+C518</f>
        <v>161.30000000000001</v>
      </c>
      <c r="D513" s="599" t="s">
        <v>72</v>
      </c>
      <c r="E513" s="600" t="s">
        <v>9</v>
      </c>
      <c r="F513" s="635"/>
    </row>
    <row r="514" spans="1:6">
      <c r="A514" s="541"/>
      <c r="B514" s="537" t="s">
        <v>39</v>
      </c>
      <c r="C514" s="541">
        <f>37.9+5.3</f>
        <v>43.199999999999996</v>
      </c>
      <c r="D514" s="543" t="s">
        <v>15</v>
      </c>
      <c r="E514" s="603" t="s">
        <v>18</v>
      </c>
      <c r="F514" s="635"/>
    </row>
    <row r="515" spans="1:6">
      <c r="A515" s="541"/>
      <c r="B515" s="537" t="s">
        <v>21</v>
      </c>
      <c r="C515" s="541">
        <f>1.8+2.1</f>
        <v>3.9000000000000004</v>
      </c>
      <c r="D515" s="543" t="s">
        <v>54</v>
      </c>
      <c r="E515" s="603" t="s">
        <v>18</v>
      </c>
      <c r="F515" s="635"/>
    </row>
    <row r="516" spans="1:6">
      <c r="A516" s="541"/>
      <c r="B516" s="537" t="s">
        <v>55</v>
      </c>
      <c r="C516" s="541">
        <f>5.8</f>
        <v>5.8</v>
      </c>
      <c r="D516" s="543" t="s">
        <v>15</v>
      </c>
      <c r="E516" s="603" t="s">
        <v>18</v>
      </c>
      <c r="F516" s="635"/>
    </row>
    <row r="517" spans="1:6">
      <c r="A517" s="541"/>
      <c r="B517" s="537" t="s">
        <v>56</v>
      </c>
      <c r="C517" s="541">
        <v>10</v>
      </c>
      <c r="D517" s="543" t="s">
        <v>15</v>
      </c>
      <c r="E517" s="603" t="s">
        <v>18</v>
      </c>
      <c r="F517" s="635"/>
    </row>
    <row r="518" spans="1:6">
      <c r="A518" s="43"/>
      <c r="B518" s="141" t="s">
        <v>25</v>
      </c>
      <c r="C518" s="43">
        <v>98.4</v>
      </c>
      <c r="D518" s="42" t="s">
        <v>15</v>
      </c>
      <c r="E518" s="43" t="s">
        <v>18</v>
      </c>
      <c r="F518" s="636"/>
    </row>
    <row r="519" spans="1:6">
      <c r="A519" s="545"/>
      <c r="B519" s="139" t="s">
        <v>38</v>
      </c>
      <c r="C519" s="546"/>
      <c r="D519" s="541"/>
      <c r="E519" s="598"/>
      <c r="F519" s="635" t="s">
        <v>57</v>
      </c>
    </row>
    <row r="520" spans="1:6">
      <c r="A520" s="545" t="s">
        <v>37</v>
      </c>
      <c r="B520" s="139"/>
      <c r="C520" s="546">
        <f>SUM(C521:C527)</f>
        <v>744.10000000000014</v>
      </c>
      <c r="D520" s="599" t="s">
        <v>72</v>
      </c>
      <c r="E520" s="600" t="s">
        <v>9</v>
      </c>
      <c r="F520" s="635"/>
    </row>
    <row r="521" spans="1:6">
      <c r="A521" s="545"/>
      <c r="B521" s="537" t="s">
        <v>17</v>
      </c>
      <c r="C521" s="544">
        <f>19+16.9+16.4</f>
        <v>52.3</v>
      </c>
      <c r="D521" s="543" t="s">
        <v>15</v>
      </c>
      <c r="E521" s="598" t="s">
        <v>18</v>
      </c>
      <c r="F521" s="635"/>
    </row>
    <row r="522" spans="1:6">
      <c r="A522" s="545"/>
      <c r="B522" s="537" t="s">
        <v>39</v>
      </c>
      <c r="C522" s="544">
        <f>26.8+17.6</f>
        <v>44.400000000000006</v>
      </c>
      <c r="D522" s="543" t="s">
        <v>15</v>
      </c>
      <c r="E522" s="598" t="s">
        <v>18</v>
      </c>
      <c r="F522" s="635"/>
    </row>
    <row r="523" spans="1:6">
      <c r="A523" s="545"/>
      <c r="B523" s="537" t="s">
        <v>36</v>
      </c>
      <c r="C523" s="544">
        <v>567.6</v>
      </c>
      <c r="D523" s="543" t="s">
        <v>15</v>
      </c>
      <c r="E523" s="598" t="s">
        <v>18</v>
      </c>
      <c r="F523" s="635"/>
    </row>
    <row r="524" spans="1:6">
      <c r="A524" s="545"/>
      <c r="B524" s="537" t="s">
        <v>36</v>
      </c>
      <c r="C524" s="544">
        <v>36.4</v>
      </c>
      <c r="D524" s="543" t="s">
        <v>15</v>
      </c>
      <c r="E524" s="598" t="s">
        <v>42</v>
      </c>
      <c r="F524" s="635"/>
    </row>
    <row r="525" spans="1:6">
      <c r="A525" s="545"/>
      <c r="B525" s="537" t="s">
        <v>21</v>
      </c>
      <c r="C525" s="544">
        <f>1.4+1.6+8.6</f>
        <v>11.6</v>
      </c>
      <c r="D525" s="543" t="s">
        <v>22</v>
      </c>
      <c r="E525" s="598" t="s">
        <v>18</v>
      </c>
      <c r="F525" s="635"/>
    </row>
    <row r="526" spans="1:6">
      <c r="A526" s="545"/>
      <c r="B526" s="537" t="s">
        <v>45</v>
      </c>
      <c r="C526" s="544">
        <f>8.2+10.5</f>
        <v>18.7</v>
      </c>
      <c r="D526" s="543" t="s">
        <v>15</v>
      </c>
      <c r="E526" s="600" t="s">
        <v>28</v>
      </c>
      <c r="F526" s="635"/>
    </row>
    <row r="527" spans="1:6">
      <c r="A527" s="13"/>
      <c r="B527" s="141" t="s">
        <v>47</v>
      </c>
      <c r="C527" s="22">
        <v>13.1</v>
      </c>
      <c r="D527" s="42" t="s">
        <v>20</v>
      </c>
      <c r="E527" s="609" t="s">
        <v>18</v>
      </c>
      <c r="F527" s="636"/>
    </row>
    <row r="528" spans="1:6">
      <c r="A528" s="13"/>
      <c r="B528" s="433"/>
      <c r="C528" s="588">
        <f>C462+C471+C488+C504+C520</f>
        <v>3709.9700000000003</v>
      </c>
      <c r="D528" s="20"/>
      <c r="E528" s="22"/>
      <c r="F528" s="530"/>
    </row>
    <row r="529" spans="1:6">
      <c r="A529" s="683" t="s">
        <v>59</v>
      </c>
      <c r="B529" s="684"/>
      <c r="C529" s="684"/>
      <c r="D529" s="684"/>
      <c r="E529" s="684"/>
      <c r="F529" s="685"/>
    </row>
    <row r="530" spans="1:6">
      <c r="A530" s="9">
        <v>1</v>
      </c>
      <c r="B530" s="282" t="s">
        <v>60</v>
      </c>
      <c r="C530" s="45"/>
      <c r="D530" s="540">
        <v>6</v>
      </c>
      <c r="E530" s="17" t="s">
        <v>9</v>
      </c>
      <c r="F530" s="634" t="s">
        <v>61</v>
      </c>
    </row>
    <row r="531" spans="1:6">
      <c r="A531" s="545"/>
      <c r="B531" s="139"/>
      <c r="C531" s="546">
        <f>C532+C539+C544</f>
        <v>583.09999999999991</v>
      </c>
      <c r="D531" s="541"/>
      <c r="E531" s="600"/>
      <c r="F531" s="635"/>
    </row>
    <row r="532" spans="1:6">
      <c r="A532" s="545" t="s">
        <v>11</v>
      </c>
      <c r="B532" s="140" t="s">
        <v>12</v>
      </c>
      <c r="C532" s="546">
        <f>SUM(C533:C538)</f>
        <v>243.49999999999997</v>
      </c>
      <c r="D532" s="599" t="s">
        <v>72</v>
      </c>
      <c r="E532" s="600" t="s">
        <v>9</v>
      </c>
      <c r="F532" s="635"/>
    </row>
    <row r="533" spans="1:6">
      <c r="A533" s="545"/>
      <c r="B533" s="537" t="s">
        <v>14</v>
      </c>
      <c r="C533" s="544">
        <v>68.099999999999994</v>
      </c>
      <c r="D533" s="543" t="s">
        <v>15</v>
      </c>
      <c r="E533" s="600" t="s">
        <v>16</v>
      </c>
      <c r="F533" s="635"/>
    </row>
    <row r="534" spans="1:6">
      <c r="A534" s="545"/>
      <c r="B534" s="537" t="s">
        <v>62</v>
      </c>
      <c r="C534" s="544">
        <v>13</v>
      </c>
      <c r="D534" s="543" t="s">
        <v>15</v>
      </c>
      <c r="E534" s="600" t="s">
        <v>18</v>
      </c>
      <c r="F534" s="635"/>
    </row>
    <row r="535" spans="1:6">
      <c r="A535" s="545"/>
      <c r="B535" s="537" t="s">
        <v>63</v>
      </c>
      <c r="C535" s="544">
        <f>41-20</f>
        <v>21</v>
      </c>
      <c r="D535" s="543" t="s">
        <v>15</v>
      </c>
      <c r="E535" s="600" t="s">
        <v>42</v>
      </c>
      <c r="F535" s="635"/>
    </row>
    <row r="536" spans="1:6">
      <c r="A536" s="545"/>
      <c r="B536" s="537" t="s">
        <v>45</v>
      </c>
      <c r="C536" s="544">
        <v>14.3</v>
      </c>
      <c r="D536" s="543" t="s">
        <v>15</v>
      </c>
      <c r="E536" s="600" t="s">
        <v>28</v>
      </c>
      <c r="F536" s="635"/>
    </row>
    <row r="537" spans="1:6">
      <c r="A537" s="545"/>
      <c r="B537" s="537" t="s">
        <v>21</v>
      </c>
      <c r="C537" s="544">
        <v>4.3</v>
      </c>
      <c r="D537" s="543" t="s">
        <v>22</v>
      </c>
      <c r="E537" s="600" t="s">
        <v>18</v>
      </c>
      <c r="F537" s="635"/>
    </row>
    <row r="538" spans="1:6">
      <c r="A538" s="545"/>
      <c r="B538" s="537" t="s">
        <v>17</v>
      </c>
      <c r="C538" s="544">
        <f>133.7-10.9</f>
        <v>122.79999999999998</v>
      </c>
      <c r="D538" s="543" t="s">
        <v>15</v>
      </c>
      <c r="E538" s="600" t="s">
        <v>18</v>
      </c>
      <c r="F538" s="635"/>
    </row>
    <row r="539" spans="1:6">
      <c r="A539" s="545" t="s">
        <v>29</v>
      </c>
      <c r="B539" s="140" t="s">
        <v>30</v>
      </c>
      <c r="C539" s="546">
        <f>SUM(C540:C543)</f>
        <v>224.2</v>
      </c>
      <c r="D539" s="599" t="s">
        <v>72</v>
      </c>
      <c r="E539" s="600" t="s">
        <v>9</v>
      </c>
      <c r="F539" s="635"/>
    </row>
    <row r="540" spans="1:6">
      <c r="A540" s="545"/>
      <c r="B540" s="537" t="s">
        <v>17</v>
      </c>
      <c r="C540" s="544">
        <v>132.19999999999999</v>
      </c>
      <c r="D540" s="543" t="s">
        <v>15</v>
      </c>
      <c r="E540" s="600" t="s">
        <v>18</v>
      </c>
      <c r="F540" s="635"/>
    </row>
    <row r="541" spans="1:6">
      <c r="A541" s="545"/>
      <c r="B541" s="537" t="s">
        <v>14</v>
      </c>
      <c r="C541" s="544">
        <v>84</v>
      </c>
      <c r="D541" s="543" t="s">
        <v>15</v>
      </c>
      <c r="E541" s="600" t="s">
        <v>16</v>
      </c>
      <c r="F541" s="635"/>
    </row>
    <row r="542" spans="1:6">
      <c r="A542" s="545"/>
      <c r="B542" s="537" t="s">
        <v>40</v>
      </c>
      <c r="C542" s="544">
        <v>5.9</v>
      </c>
      <c r="D542" s="543" t="s">
        <v>15</v>
      </c>
      <c r="E542" s="600" t="s">
        <v>64</v>
      </c>
      <c r="F542" s="635"/>
    </row>
    <row r="543" spans="1:6">
      <c r="A543" s="545"/>
      <c r="B543" s="537" t="s">
        <v>21</v>
      </c>
      <c r="C543" s="544">
        <v>2.1</v>
      </c>
      <c r="D543" s="543" t="s">
        <v>22</v>
      </c>
      <c r="E543" s="600" t="s">
        <v>18</v>
      </c>
      <c r="F543" s="635"/>
    </row>
    <row r="544" spans="1:6">
      <c r="A544" s="545" t="s">
        <v>37</v>
      </c>
      <c r="B544" s="140" t="s">
        <v>48</v>
      </c>
      <c r="C544" s="546">
        <f>C545</f>
        <v>115.4</v>
      </c>
      <c r="D544" s="543" t="s">
        <v>13</v>
      </c>
      <c r="E544" s="600" t="s">
        <v>9</v>
      </c>
      <c r="F544" s="635"/>
    </row>
    <row r="545" spans="1:6">
      <c r="A545" s="545"/>
      <c r="B545" s="537" t="s">
        <v>65</v>
      </c>
      <c r="C545" s="544">
        <v>115.4</v>
      </c>
      <c r="D545" s="543" t="s">
        <v>27</v>
      </c>
      <c r="E545" s="600" t="s">
        <v>42</v>
      </c>
      <c r="F545" s="635"/>
    </row>
    <row r="546" spans="1:6">
      <c r="A546" s="686"/>
      <c r="B546" s="281"/>
      <c r="C546" s="89">
        <f>C547+C552+C559+C562+C564</f>
        <v>894</v>
      </c>
      <c r="D546" s="41"/>
      <c r="E546" s="17"/>
      <c r="F546" s="634" t="s">
        <v>66</v>
      </c>
    </row>
    <row r="547" spans="1:6">
      <c r="A547" s="655"/>
      <c r="B547" s="140" t="s">
        <v>12</v>
      </c>
      <c r="C547" s="546">
        <f>C548+C549+C550+C551</f>
        <v>82</v>
      </c>
      <c r="D547" s="543"/>
      <c r="E547" s="600"/>
      <c r="F547" s="635"/>
    </row>
    <row r="548" spans="1:6">
      <c r="A548" s="687"/>
      <c r="B548" s="537" t="s">
        <v>14</v>
      </c>
      <c r="C548" s="544">
        <v>17.899999999999999</v>
      </c>
      <c r="D548" s="543" t="s">
        <v>15</v>
      </c>
      <c r="E548" s="600" t="s">
        <v>18</v>
      </c>
      <c r="F548" s="635"/>
    </row>
    <row r="549" spans="1:6">
      <c r="A549" s="687"/>
      <c r="B549" s="537" t="s">
        <v>47</v>
      </c>
      <c r="C549" s="544">
        <v>33.200000000000003</v>
      </c>
      <c r="D549" s="543" t="s">
        <v>15</v>
      </c>
      <c r="E549" s="600" t="s">
        <v>18</v>
      </c>
      <c r="F549" s="635"/>
    </row>
    <row r="550" spans="1:6">
      <c r="A550" s="687"/>
      <c r="B550" s="537" t="s">
        <v>17</v>
      </c>
      <c r="C550" s="544">
        <v>10.9</v>
      </c>
      <c r="D550" s="543" t="s">
        <v>15</v>
      </c>
      <c r="E550" s="600" t="s">
        <v>18</v>
      </c>
      <c r="F550" s="635"/>
    </row>
    <row r="551" spans="1:6">
      <c r="A551" s="687"/>
      <c r="B551" s="537" t="s">
        <v>63</v>
      </c>
      <c r="C551" s="544">
        <v>20</v>
      </c>
      <c r="D551" s="543" t="s">
        <v>15</v>
      </c>
      <c r="E551" s="600" t="s">
        <v>42</v>
      </c>
      <c r="F551" s="635"/>
    </row>
    <row r="552" spans="1:6">
      <c r="A552" s="545"/>
      <c r="B552" s="140" t="s">
        <v>30</v>
      </c>
      <c r="C552" s="546">
        <f>SUM(C553:C556)</f>
        <v>135.9</v>
      </c>
      <c r="D552" s="543"/>
      <c r="E552" s="600"/>
      <c r="F552" s="635"/>
    </row>
    <row r="553" spans="1:6">
      <c r="A553" s="545"/>
      <c r="B553" s="537" t="s">
        <v>17</v>
      </c>
      <c r="C553" s="544">
        <v>87.2</v>
      </c>
      <c r="D553" s="543" t="s">
        <v>15</v>
      </c>
      <c r="E553" s="600" t="s">
        <v>18</v>
      </c>
      <c r="F553" s="635"/>
    </row>
    <row r="554" spans="1:6">
      <c r="A554" s="545"/>
      <c r="B554" s="537" t="s">
        <v>14</v>
      </c>
      <c r="C554" s="544">
        <v>37.9</v>
      </c>
      <c r="D554" s="543" t="s">
        <v>15</v>
      </c>
      <c r="E554" s="600" t="s">
        <v>18</v>
      </c>
      <c r="F554" s="635"/>
    </row>
    <row r="555" spans="1:6">
      <c r="A555" s="545"/>
      <c r="B555" s="537" t="s">
        <v>21</v>
      </c>
      <c r="C555" s="544">
        <v>10.8</v>
      </c>
      <c r="D555" s="543" t="s">
        <v>22</v>
      </c>
      <c r="E555" s="600" t="s">
        <v>18</v>
      </c>
      <c r="F555" s="635"/>
    </row>
    <row r="556" spans="1:6">
      <c r="A556" s="545"/>
      <c r="B556" s="537"/>
      <c r="C556" s="544"/>
      <c r="D556" s="543" t="s">
        <v>67</v>
      </c>
      <c r="E556" s="600" t="s">
        <v>68</v>
      </c>
      <c r="F556" s="635"/>
    </row>
    <row r="557" spans="1:6">
      <c r="A557" s="12" t="s">
        <v>69</v>
      </c>
      <c r="B557" s="139" t="s">
        <v>70</v>
      </c>
      <c r="C557" s="25">
        <f>C559+C562+C564+C575+C583</f>
        <v>1495.3</v>
      </c>
      <c r="D557" s="688"/>
      <c r="E557" s="689"/>
      <c r="F557" s="635"/>
    </row>
    <row r="558" spans="1:6">
      <c r="A558" s="12" t="s">
        <v>11</v>
      </c>
      <c r="B558" s="140" t="s">
        <v>12</v>
      </c>
      <c r="C558" s="21"/>
      <c r="D558" s="688"/>
      <c r="E558" s="689"/>
      <c r="F558" s="635"/>
    </row>
    <row r="559" spans="1:6">
      <c r="A559" s="12"/>
      <c r="B559" s="537" t="s">
        <v>71</v>
      </c>
      <c r="C559" s="546">
        <v>133.19999999999999</v>
      </c>
      <c r="D559" s="543" t="s">
        <v>15</v>
      </c>
      <c r="E559" s="600" t="s">
        <v>18</v>
      </c>
      <c r="F559" s="635"/>
    </row>
    <row r="560" spans="1:6">
      <c r="A560" s="690" t="s">
        <v>29</v>
      </c>
      <c r="B560" s="139" t="s">
        <v>70</v>
      </c>
      <c r="C560" s="691"/>
      <c r="D560" s="688"/>
      <c r="E560" s="689"/>
      <c r="F560" s="635"/>
    </row>
    <row r="561" spans="1:6">
      <c r="A561" s="690"/>
      <c r="B561" s="140" t="s">
        <v>30</v>
      </c>
      <c r="C561" s="691"/>
      <c r="D561" s="688"/>
      <c r="E561" s="689"/>
      <c r="F561" s="635"/>
    </row>
    <row r="562" spans="1:6">
      <c r="A562" s="690"/>
      <c r="B562" s="537" t="s">
        <v>39</v>
      </c>
      <c r="C562" s="546">
        <v>36.799999999999997</v>
      </c>
      <c r="D562" s="543" t="s">
        <v>27</v>
      </c>
      <c r="E562" s="600" t="s">
        <v>18</v>
      </c>
      <c r="F562" s="635"/>
    </row>
    <row r="563" spans="1:6">
      <c r="A563" s="655" t="s">
        <v>37</v>
      </c>
      <c r="B563" s="139" t="s">
        <v>70</v>
      </c>
      <c r="C563" s="546"/>
      <c r="D563" s="543"/>
      <c r="E563" s="600"/>
      <c r="F563" s="635"/>
    </row>
    <row r="564" spans="1:6">
      <c r="A564" s="655"/>
      <c r="B564" s="140" t="s">
        <v>38</v>
      </c>
      <c r="C564" s="25">
        <f>SUM(C565:C573)</f>
        <v>506.09999999999997</v>
      </c>
      <c r="D564" s="543" t="s">
        <v>72</v>
      </c>
      <c r="E564" s="600" t="s">
        <v>9</v>
      </c>
      <c r="F564" s="635"/>
    </row>
    <row r="565" spans="1:6">
      <c r="A565" s="655"/>
      <c r="B565" s="537" t="s">
        <v>17</v>
      </c>
      <c r="C565" s="544">
        <v>161.19999999999999</v>
      </c>
      <c r="D565" s="543" t="s">
        <v>15</v>
      </c>
      <c r="E565" s="600" t="s">
        <v>18</v>
      </c>
      <c r="F565" s="635"/>
    </row>
    <row r="566" spans="1:6">
      <c r="A566" s="655"/>
      <c r="B566" s="537" t="s">
        <v>63</v>
      </c>
      <c r="C566" s="544">
        <f>14.4+3.7</f>
        <v>18.100000000000001</v>
      </c>
      <c r="D566" s="543" t="s">
        <v>15</v>
      </c>
      <c r="E566" s="600" t="s">
        <v>42</v>
      </c>
      <c r="F566" s="635"/>
    </row>
    <row r="567" spans="1:6">
      <c r="A567" s="655"/>
      <c r="B567" s="537" t="s">
        <v>73</v>
      </c>
      <c r="C567" s="544">
        <v>8.4</v>
      </c>
      <c r="D567" s="543" t="s">
        <v>15</v>
      </c>
      <c r="E567" s="600" t="s">
        <v>64</v>
      </c>
      <c r="F567" s="635"/>
    </row>
    <row r="568" spans="1:6">
      <c r="A568" s="655"/>
      <c r="B568" s="537" t="s">
        <v>74</v>
      </c>
      <c r="C568" s="544">
        <v>54</v>
      </c>
      <c r="D568" s="543" t="s">
        <v>15</v>
      </c>
      <c r="E568" s="600" t="s">
        <v>42</v>
      </c>
      <c r="F568" s="635"/>
    </row>
    <row r="569" spans="1:6">
      <c r="A569" s="655"/>
      <c r="B569" s="537" t="s">
        <v>75</v>
      </c>
      <c r="C569" s="544">
        <v>174.8</v>
      </c>
      <c r="D569" s="543" t="s">
        <v>15</v>
      </c>
      <c r="E569" s="600" t="s">
        <v>42</v>
      </c>
      <c r="F569" s="635"/>
    </row>
    <row r="570" spans="1:6">
      <c r="A570" s="655"/>
      <c r="B570" s="537" t="s">
        <v>39</v>
      </c>
      <c r="C570" s="544">
        <v>69.7</v>
      </c>
      <c r="D570" s="543" t="s">
        <v>15</v>
      </c>
      <c r="E570" s="600" t="s">
        <v>18</v>
      </c>
      <c r="F570" s="635"/>
    </row>
    <row r="571" spans="1:6">
      <c r="A571" s="655"/>
      <c r="B571" s="537" t="s">
        <v>21</v>
      </c>
      <c r="C571" s="544">
        <v>3.4</v>
      </c>
      <c r="D571" s="543" t="s">
        <v>22</v>
      </c>
      <c r="E571" s="600" t="s">
        <v>18</v>
      </c>
      <c r="F571" s="635"/>
    </row>
    <row r="572" spans="1:6">
      <c r="A572" s="655"/>
      <c r="B572" s="537"/>
      <c r="C572" s="544"/>
      <c r="D572" s="543" t="s">
        <v>67</v>
      </c>
      <c r="E572" s="600" t="s">
        <v>68</v>
      </c>
      <c r="F572" s="635"/>
    </row>
    <row r="573" spans="1:6">
      <c r="A573" s="655"/>
      <c r="B573" s="537" t="s">
        <v>76</v>
      </c>
      <c r="C573" s="544">
        <v>16.5</v>
      </c>
      <c r="D573" s="543" t="s">
        <v>27</v>
      </c>
      <c r="E573" s="600" t="s">
        <v>18</v>
      </c>
      <c r="F573" s="635"/>
    </row>
    <row r="574" spans="1:6">
      <c r="A574" s="9">
        <v>3</v>
      </c>
      <c r="B574" s="282" t="s">
        <v>70</v>
      </c>
      <c r="C574" s="89">
        <f>C575+C583+C593+C594+C597</f>
        <v>1014.2</v>
      </c>
      <c r="D574" s="41" t="s">
        <v>72</v>
      </c>
      <c r="E574" s="17" t="s">
        <v>9</v>
      </c>
      <c r="F574" s="634" t="s">
        <v>77</v>
      </c>
    </row>
    <row r="575" spans="1:6">
      <c r="A575" s="545"/>
      <c r="B575" s="140" t="s">
        <v>78</v>
      </c>
      <c r="C575" s="25">
        <f>SUM(C576:C582)</f>
        <v>367.2</v>
      </c>
      <c r="D575" s="543"/>
      <c r="E575" s="600"/>
      <c r="F575" s="635"/>
    </row>
    <row r="576" spans="1:6">
      <c r="A576" s="545" t="s">
        <v>11</v>
      </c>
      <c r="B576" s="537"/>
      <c r="C576" s="544"/>
      <c r="D576" s="543"/>
      <c r="E576" s="600"/>
      <c r="F576" s="635"/>
    </row>
    <row r="577" spans="1:6">
      <c r="A577" s="545"/>
      <c r="B577" s="145" t="s">
        <v>36</v>
      </c>
      <c r="C577" s="544">
        <v>277.7</v>
      </c>
      <c r="D577" s="543" t="s">
        <v>15</v>
      </c>
      <c r="E577" s="600" t="s">
        <v>28</v>
      </c>
      <c r="F577" s="635"/>
    </row>
    <row r="578" spans="1:6">
      <c r="A578" s="545"/>
      <c r="B578" s="537" t="s">
        <v>45</v>
      </c>
      <c r="C578" s="544">
        <v>16.5</v>
      </c>
      <c r="D578" s="543" t="s">
        <v>15</v>
      </c>
      <c r="E578" s="600" t="s">
        <v>28</v>
      </c>
      <c r="F578" s="635"/>
    </row>
    <row r="579" spans="1:6">
      <c r="A579" s="545"/>
      <c r="B579" s="537" t="s">
        <v>39</v>
      </c>
      <c r="C579" s="544">
        <v>52.4</v>
      </c>
      <c r="D579" s="543" t="s">
        <v>15</v>
      </c>
      <c r="E579" s="600" t="s">
        <v>18</v>
      </c>
      <c r="F579" s="635"/>
    </row>
    <row r="580" spans="1:6">
      <c r="A580" s="545"/>
      <c r="B580" s="537" t="s">
        <v>76</v>
      </c>
      <c r="C580" s="544">
        <v>16.5</v>
      </c>
      <c r="D580" s="543" t="s">
        <v>15</v>
      </c>
      <c r="E580" s="600" t="s">
        <v>18</v>
      </c>
      <c r="F580" s="635"/>
    </row>
    <row r="581" spans="1:6">
      <c r="A581" s="545"/>
      <c r="B581" s="537" t="s">
        <v>21</v>
      </c>
      <c r="C581" s="544">
        <v>4.0999999999999996</v>
      </c>
      <c r="D581" s="543" t="s">
        <v>22</v>
      </c>
      <c r="E581" s="600" t="s">
        <v>18</v>
      </c>
      <c r="F581" s="635"/>
    </row>
    <row r="582" spans="1:6">
      <c r="A582" s="545"/>
      <c r="B582" s="537"/>
      <c r="C582" s="544"/>
      <c r="D582" s="543" t="s">
        <v>67</v>
      </c>
      <c r="E582" s="600" t="s">
        <v>68</v>
      </c>
      <c r="F582" s="635"/>
    </row>
    <row r="583" spans="1:6">
      <c r="A583" s="545"/>
      <c r="B583" s="140" t="s">
        <v>79</v>
      </c>
      <c r="C583" s="546">
        <f>SUM(C584:C590)</f>
        <v>452</v>
      </c>
      <c r="D583" s="543" t="s">
        <v>72</v>
      </c>
      <c r="E583" s="600" t="s">
        <v>9</v>
      </c>
      <c r="F583" s="635"/>
    </row>
    <row r="584" spans="1:6">
      <c r="A584" s="545" t="s">
        <v>29</v>
      </c>
      <c r="B584" s="537" t="s">
        <v>21</v>
      </c>
      <c r="C584" s="544">
        <v>4.2</v>
      </c>
      <c r="D584" s="543" t="s">
        <v>22</v>
      </c>
      <c r="E584" s="600" t="s">
        <v>18</v>
      </c>
      <c r="F584" s="635"/>
    </row>
    <row r="585" spans="1:6">
      <c r="A585" s="545"/>
      <c r="B585" s="537"/>
      <c r="C585" s="544"/>
      <c r="D585" s="543" t="s">
        <v>67</v>
      </c>
      <c r="E585" s="600" t="s">
        <v>68</v>
      </c>
      <c r="F585" s="635"/>
    </row>
    <row r="586" spans="1:6">
      <c r="A586" s="545"/>
      <c r="B586" s="537" t="s">
        <v>19</v>
      </c>
      <c r="C586" s="544">
        <v>17.5</v>
      </c>
      <c r="D586" s="543" t="s">
        <v>15</v>
      </c>
      <c r="E586" s="600" t="s">
        <v>18</v>
      </c>
      <c r="F586" s="635"/>
    </row>
    <row r="587" spans="1:6">
      <c r="A587" s="545"/>
      <c r="B587" s="537" t="s">
        <v>71</v>
      </c>
      <c r="C587" s="544">
        <v>343</v>
      </c>
      <c r="D587" s="543" t="s">
        <v>15</v>
      </c>
      <c r="E587" s="600" t="s">
        <v>18</v>
      </c>
      <c r="F587" s="635"/>
    </row>
    <row r="588" spans="1:6">
      <c r="A588" s="545"/>
      <c r="B588" s="537" t="s">
        <v>36</v>
      </c>
      <c r="C588" s="544">
        <v>39</v>
      </c>
      <c r="D588" s="543" t="s">
        <v>15</v>
      </c>
      <c r="E588" s="600" t="s">
        <v>28</v>
      </c>
      <c r="F588" s="635"/>
    </row>
    <row r="589" spans="1:6">
      <c r="A589" s="545"/>
      <c r="B589" s="537" t="s">
        <v>76</v>
      </c>
      <c r="C589" s="544">
        <v>16.5</v>
      </c>
      <c r="D589" s="543" t="s">
        <v>27</v>
      </c>
      <c r="E589" s="600" t="s">
        <v>18</v>
      </c>
      <c r="F589" s="635"/>
    </row>
    <row r="590" spans="1:6">
      <c r="A590" s="545"/>
      <c r="B590" s="537" t="s">
        <v>73</v>
      </c>
      <c r="C590" s="544">
        <v>31.8</v>
      </c>
      <c r="D590" s="543" t="s">
        <v>15</v>
      </c>
      <c r="E590" s="600" t="s">
        <v>28</v>
      </c>
      <c r="F590" s="635"/>
    </row>
    <row r="591" spans="1:6">
      <c r="A591" s="655" t="s">
        <v>37</v>
      </c>
      <c r="B591" s="139" t="s">
        <v>80</v>
      </c>
      <c r="C591" s="539">
        <f>SUM(C593+C594+C597+C604+C610+C617)</f>
        <v>804.6</v>
      </c>
      <c r="D591" s="98" t="s">
        <v>72</v>
      </c>
      <c r="E591" s="203" t="s">
        <v>9</v>
      </c>
      <c r="F591" s="635"/>
    </row>
    <row r="592" spans="1:6">
      <c r="A592" s="655"/>
      <c r="B592" s="140" t="s">
        <v>12</v>
      </c>
      <c r="C592" s="539"/>
      <c r="D592" s="26"/>
      <c r="E592" s="203"/>
      <c r="F592" s="635"/>
    </row>
    <row r="593" spans="1:6">
      <c r="A593" s="655"/>
      <c r="B593" s="537" t="s">
        <v>39</v>
      </c>
      <c r="C593" s="539">
        <v>59.2</v>
      </c>
      <c r="D593" s="98" t="s">
        <v>15</v>
      </c>
      <c r="E593" s="203" t="s">
        <v>18</v>
      </c>
      <c r="F593" s="635"/>
    </row>
    <row r="594" spans="1:6">
      <c r="A594" s="655" t="s">
        <v>81</v>
      </c>
      <c r="B594" s="139" t="s">
        <v>82</v>
      </c>
      <c r="C594" s="682">
        <v>23.3</v>
      </c>
      <c r="D594" s="543"/>
      <c r="E594" s="600"/>
      <c r="F594" s="635"/>
    </row>
    <row r="595" spans="1:6">
      <c r="A595" s="655"/>
      <c r="B595" s="140" t="s">
        <v>30</v>
      </c>
      <c r="C595" s="682"/>
      <c r="D595" s="543"/>
      <c r="E595" s="600"/>
      <c r="F595" s="635"/>
    </row>
    <row r="596" spans="1:6">
      <c r="A596" s="655"/>
      <c r="B596" s="537" t="s">
        <v>62</v>
      </c>
      <c r="C596" s="682"/>
      <c r="D596" s="543" t="s">
        <v>15</v>
      </c>
      <c r="E596" s="600" t="s">
        <v>18</v>
      </c>
      <c r="F596" s="635"/>
    </row>
    <row r="597" spans="1:6">
      <c r="A597" s="545" t="s">
        <v>83</v>
      </c>
      <c r="B597" s="140" t="s">
        <v>84</v>
      </c>
      <c r="C597" s="546">
        <f>SUM(C598:C602)</f>
        <v>112.49999999999999</v>
      </c>
      <c r="D597" s="543" t="s">
        <v>72</v>
      </c>
      <c r="E597" s="600" t="s">
        <v>9</v>
      </c>
      <c r="F597" s="635"/>
    </row>
    <row r="598" spans="1:6">
      <c r="A598" s="545"/>
      <c r="B598" s="537" t="s">
        <v>84</v>
      </c>
      <c r="C598" s="544">
        <v>87.6</v>
      </c>
      <c r="D598" s="543" t="s">
        <v>15</v>
      </c>
      <c r="E598" s="600" t="s">
        <v>18</v>
      </c>
      <c r="F598" s="635"/>
    </row>
    <row r="599" spans="1:6">
      <c r="A599" s="545"/>
      <c r="B599" s="537" t="s">
        <v>14</v>
      </c>
      <c r="C599" s="544">
        <v>5.6</v>
      </c>
      <c r="D599" s="543" t="s">
        <v>15</v>
      </c>
      <c r="E599" s="600" t="s">
        <v>18</v>
      </c>
      <c r="F599" s="635"/>
    </row>
    <row r="600" spans="1:6">
      <c r="A600" s="545"/>
      <c r="B600" s="537" t="s">
        <v>85</v>
      </c>
      <c r="C600" s="544">
        <v>11.6</v>
      </c>
      <c r="D600" s="543" t="s">
        <v>15</v>
      </c>
      <c r="E600" s="600" t="s">
        <v>64</v>
      </c>
      <c r="F600" s="635"/>
    </row>
    <row r="601" spans="1:6">
      <c r="A601" s="545"/>
      <c r="B601" s="537" t="s">
        <v>21</v>
      </c>
      <c r="C601" s="544">
        <v>7.7</v>
      </c>
      <c r="D601" s="543" t="s">
        <v>22</v>
      </c>
      <c r="E601" s="600" t="s">
        <v>18</v>
      </c>
      <c r="F601" s="635"/>
    </row>
    <row r="602" spans="1:6">
      <c r="A602" s="545"/>
      <c r="B602" s="537"/>
      <c r="C602" s="544"/>
      <c r="D602" s="543" t="s">
        <v>67</v>
      </c>
      <c r="E602" s="600" t="s">
        <v>68</v>
      </c>
      <c r="F602" s="635"/>
    </row>
    <row r="603" spans="1:6">
      <c r="A603" s="9">
        <v>4</v>
      </c>
      <c r="B603" s="282" t="s">
        <v>86</v>
      </c>
      <c r="C603" s="45">
        <f>C604+C610+C617</f>
        <v>609.6</v>
      </c>
      <c r="D603" s="41"/>
      <c r="E603" s="17"/>
      <c r="F603" s="669" t="s">
        <v>87</v>
      </c>
    </row>
    <row r="604" spans="1:6">
      <c r="A604" s="545" t="s">
        <v>11</v>
      </c>
      <c r="B604" s="140" t="s">
        <v>12</v>
      </c>
      <c r="C604" s="546">
        <f>SUM(C605:C609)</f>
        <v>94.2</v>
      </c>
      <c r="D604" s="543" t="s">
        <v>72</v>
      </c>
      <c r="E604" s="600" t="s">
        <v>9</v>
      </c>
      <c r="F604" s="670"/>
    </row>
    <row r="605" spans="1:6">
      <c r="A605" s="545"/>
      <c r="B605" s="537" t="s">
        <v>36</v>
      </c>
      <c r="C605" s="544">
        <v>10.4</v>
      </c>
      <c r="D605" s="543" t="s">
        <v>15</v>
      </c>
      <c r="E605" s="600" t="s">
        <v>28</v>
      </c>
      <c r="F605" s="670"/>
    </row>
    <row r="606" spans="1:6">
      <c r="A606" s="545"/>
      <c r="B606" s="537" t="s">
        <v>45</v>
      </c>
      <c r="C606" s="544">
        <v>40.700000000000003</v>
      </c>
      <c r="D606" s="543" t="s">
        <v>15</v>
      </c>
      <c r="E606" s="600" t="s">
        <v>28</v>
      </c>
      <c r="F606" s="670"/>
    </row>
    <row r="607" spans="1:6">
      <c r="A607" s="545"/>
      <c r="B607" s="537" t="s">
        <v>21</v>
      </c>
      <c r="C607" s="544">
        <v>4.5</v>
      </c>
      <c r="D607" s="543" t="s">
        <v>22</v>
      </c>
      <c r="E607" s="600" t="s">
        <v>68</v>
      </c>
      <c r="F607" s="670"/>
    </row>
    <row r="608" spans="1:6">
      <c r="A608" s="545"/>
      <c r="B608" s="537"/>
      <c r="C608" s="544"/>
      <c r="D608" s="543" t="s">
        <v>67</v>
      </c>
      <c r="E608" s="600" t="s">
        <v>68</v>
      </c>
      <c r="F608" s="670"/>
    </row>
    <row r="609" spans="1:6">
      <c r="A609" s="545"/>
      <c r="B609" s="537" t="s">
        <v>35</v>
      </c>
      <c r="C609" s="544">
        <v>38.6</v>
      </c>
      <c r="D609" s="543" t="s">
        <v>20</v>
      </c>
      <c r="E609" s="600" t="s">
        <v>18</v>
      </c>
      <c r="F609" s="670"/>
    </row>
    <row r="610" spans="1:6">
      <c r="A610" s="545" t="s">
        <v>29</v>
      </c>
      <c r="B610" s="140" t="s">
        <v>30</v>
      </c>
      <c r="C610" s="546">
        <f>SUM(C611:C616)</f>
        <v>206.3</v>
      </c>
      <c r="D610" s="543" t="s">
        <v>72</v>
      </c>
      <c r="E610" s="600" t="s">
        <v>9</v>
      </c>
      <c r="F610" s="670"/>
    </row>
    <row r="611" spans="1:6">
      <c r="A611" s="545"/>
      <c r="B611" s="537" t="s">
        <v>71</v>
      </c>
      <c r="C611" s="544">
        <v>62.4</v>
      </c>
      <c r="D611" s="543" t="s">
        <v>15</v>
      </c>
      <c r="E611" s="600" t="s">
        <v>18</v>
      </c>
      <c r="F611" s="670"/>
    </row>
    <row r="612" spans="1:6">
      <c r="A612" s="545"/>
      <c r="B612" s="537" t="s">
        <v>14</v>
      </c>
      <c r="C612" s="544">
        <v>32</v>
      </c>
      <c r="D612" s="543" t="s">
        <v>15</v>
      </c>
      <c r="E612" s="600" t="s">
        <v>18</v>
      </c>
      <c r="F612" s="670"/>
    </row>
    <row r="613" spans="1:6">
      <c r="A613" s="545"/>
      <c r="B613" s="537" t="s">
        <v>36</v>
      </c>
      <c r="C613" s="544">
        <v>68.7</v>
      </c>
      <c r="D613" s="543" t="s">
        <v>15</v>
      </c>
      <c r="E613" s="600" t="s">
        <v>28</v>
      </c>
      <c r="F613" s="670"/>
    </row>
    <row r="614" spans="1:6">
      <c r="A614" s="545"/>
      <c r="B614" s="537" t="s">
        <v>21</v>
      </c>
      <c r="C614" s="544">
        <v>4.5999999999999996</v>
      </c>
      <c r="D614" s="543" t="s">
        <v>22</v>
      </c>
      <c r="E614" s="600" t="s">
        <v>18</v>
      </c>
      <c r="F614" s="670"/>
    </row>
    <row r="615" spans="1:6">
      <c r="A615" s="545"/>
      <c r="B615" s="537"/>
      <c r="C615" s="544"/>
      <c r="D615" s="543" t="s">
        <v>67</v>
      </c>
      <c r="E615" s="600" t="s">
        <v>68</v>
      </c>
      <c r="F615" s="670"/>
    </row>
    <row r="616" spans="1:6">
      <c r="A616" s="545"/>
      <c r="B616" s="537" t="s">
        <v>47</v>
      </c>
      <c r="C616" s="544">
        <v>38.6</v>
      </c>
      <c r="D616" s="543" t="s">
        <v>20</v>
      </c>
      <c r="E616" s="600" t="s">
        <v>18</v>
      </c>
      <c r="F616" s="670"/>
    </row>
    <row r="617" spans="1:6">
      <c r="A617" s="545" t="s">
        <v>37</v>
      </c>
      <c r="B617" s="140" t="s">
        <v>38</v>
      </c>
      <c r="C617" s="546">
        <f>SUM(C618:C624)</f>
        <v>309.10000000000002</v>
      </c>
      <c r="D617" s="543" t="s">
        <v>72</v>
      </c>
      <c r="E617" s="600" t="s">
        <v>9</v>
      </c>
      <c r="F617" s="670"/>
    </row>
    <row r="618" spans="1:6">
      <c r="A618" s="545"/>
      <c r="B618" s="537" t="s">
        <v>39</v>
      </c>
      <c r="C618" s="544">
        <v>17.8</v>
      </c>
      <c r="D618" s="543" t="s">
        <v>15</v>
      </c>
      <c r="E618" s="600" t="s">
        <v>18</v>
      </c>
      <c r="F618" s="670"/>
    </row>
    <row r="619" spans="1:6">
      <c r="A619" s="545"/>
      <c r="B619" s="537" t="s">
        <v>19</v>
      </c>
      <c r="C619" s="544">
        <v>10.1</v>
      </c>
      <c r="D619" s="543" t="s">
        <v>15</v>
      </c>
      <c r="E619" s="600" t="s">
        <v>18</v>
      </c>
      <c r="F619" s="670"/>
    </row>
    <row r="620" spans="1:6">
      <c r="A620" s="545"/>
      <c r="B620" s="537" t="s">
        <v>36</v>
      </c>
      <c r="C620" s="544">
        <f>17.6+4.5+20.4</f>
        <v>42.5</v>
      </c>
      <c r="D620" s="543" t="s">
        <v>15</v>
      </c>
      <c r="E620" s="600" t="s">
        <v>28</v>
      </c>
      <c r="F620" s="670"/>
    </row>
    <row r="621" spans="1:6">
      <c r="A621" s="545"/>
      <c r="B621" s="537" t="s">
        <v>71</v>
      </c>
      <c r="C621" s="544">
        <v>195</v>
      </c>
      <c r="D621" s="543" t="s">
        <v>15</v>
      </c>
      <c r="E621" s="600" t="s">
        <v>88</v>
      </c>
      <c r="F621" s="670"/>
    </row>
    <row r="622" spans="1:6">
      <c r="A622" s="545"/>
      <c r="B622" s="537" t="s">
        <v>21</v>
      </c>
      <c r="C622" s="544">
        <v>5.0999999999999996</v>
      </c>
      <c r="D622" s="543" t="s">
        <v>22</v>
      </c>
      <c r="E622" s="600" t="s">
        <v>18</v>
      </c>
      <c r="F622" s="670"/>
    </row>
    <row r="623" spans="1:6">
      <c r="A623" s="545"/>
      <c r="B623" s="537"/>
      <c r="C623" s="544"/>
      <c r="D623" s="543" t="s">
        <v>67</v>
      </c>
      <c r="E623" s="600" t="s">
        <v>68</v>
      </c>
      <c r="F623" s="670"/>
    </row>
    <row r="624" spans="1:6">
      <c r="A624" s="545"/>
      <c r="B624" s="537" t="s">
        <v>47</v>
      </c>
      <c r="C624" s="544">
        <v>38.6</v>
      </c>
      <c r="D624" s="543" t="s">
        <v>20</v>
      </c>
      <c r="E624" s="600" t="s">
        <v>18</v>
      </c>
      <c r="F624" s="670"/>
    </row>
    <row r="625" spans="1:6">
      <c r="A625" s="9">
        <v>4</v>
      </c>
      <c r="B625" s="282" t="s">
        <v>89</v>
      </c>
      <c r="C625" s="45">
        <f>C626+C634</f>
        <v>663.7</v>
      </c>
      <c r="D625" s="41"/>
      <c r="E625" s="17"/>
      <c r="F625" s="652" t="s">
        <v>941</v>
      </c>
    </row>
    <row r="626" spans="1:6">
      <c r="A626" s="545" t="s">
        <v>11</v>
      </c>
      <c r="B626" s="140" t="s">
        <v>12</v>
      </c>
      <c r="C626" s="546">
        <f>SUM(C627:C633)</f>
        <v>158.5</v>
      </c>
      <c r="D626" s="543" t="s">
        <v>72</v>
      </c>
      <c r="E626" s="600" t="s">
        <v>9</v>
      </c>
      <c r="F626" s="653"/>
    </row>
    <row r="627" spans="1:6">
      <c r="A627" s="545"/>
      <c r="B627" s="537" t="s">
        <v>14</v>
      </c>
      <c r="C627" s="544">
        <v>13.5</v>
      </c>
      <c r="D627" s="543" t="s">
        <v>15</v>
      </c>
      <c r="E627" s="600" t="s">
        <v>18</v>
      </c>
      <c r="F627" s="653"/>
    </row>
    <row r="628" spans="1:6">
      <c r="A628" s="545"/>
      <c r="B628" s="537" t="s">
        <v>19</v>
      </c>
      <c r="C628" s="544">
        <v>11</v>
      </c>
      <c r="D628" s="543" t="s">
        <v>15</v>
      </c>
      <c r="E628" s="600" t="s">
        <v>18</v>
      </c>
      <c r="F628" s="653"/>
    </row>
    <row r="629" spans="1:6">
      <c r="A629" s="545"/>
      <c r="B629" s="537" t="s">
        <v>45</v>
      </c>
      <c r="C629" s="544">
        <v>5</v>
      </c>
      <c r="D629" s="543" t="s">
        <v>15</v>
      </c>
      <c r="E629" s="600" t="s">
        <v>42</v>
      </c>
      <c r="F629" s="653"/>
    </row>
    <row r="630" spans="1:6">
      <c r="A630" s="545"/>
      <c r="B630" s="537" t="s">
        <v>21</v>
      </c>
      <c r="C630" s="544">
        <v>3.6</v>
      </c>
      <c r="D630" s="543" t="s">
        <v>22</v>
      </c>
      <c r="E630" s="600" t="s">
        <v>18</v>
      </c>
      <c r="F630" s="653"/>
    </row>
    <row r="631" spans="1:6">
      <c r="A631" s="545"/>
      <c r="B631" s="537"/>
      <c r="C631" s="544"/>
      <c r="D631" s="543" t="s">
        <v>67</v>
      </c>
      <c r="E631" s="600" t="s">
        <v>68</v>
      </c>
      <c r="F631" s="653"/>
    </row>
    <row r="632" spans="1:6">
      <c r="A632" s="545"/>
      <c r="B632" s="537" t="s">
        <v>71</v>
      </c>
      <c r="C632" s="544">
        <f>58.8+56.2</f>
        <v>115</v>
      </c>
      <c r="D632" s="543" t="s">
        <v>27</v>
      </c>
      <c r="E632" s="600" t="s">
        <v>18</v>
      </c>
      <c r="F632" s="653"/>
    </row>
    <row r="633" spans="1:6">
      <c r="A633" s="545"/>
      <c r="B633" s="537" t="s">
        <v>36</v>
      </c>
      <c r="C633" s="544">
        <v>10.4</v>
      </c>
      <c r="D633" s="543" t="s">
        <v>15</v>
      </c>
      <c r="E633" s="600" t="s">
        <v>18</v>
      </c>
      <c r="F633" s="653"/>
    </row>
    <row r="634" spans="1:6">
      <c r="A634" s="545">
        <v>5</v>
      </c>
      <c r="B634" s="139" t="s">
        <v>91</v>
      </c>
      <c r="C634" s="546">
        <f>SUM(C635+C644)</f>
        <v>505.2</v>
      </c>
      <c r="D634" s="541">
        <v>6</v>
      </c>
      <c r="E634" s="600" t="s">
        <v>9</v>
      </c>
      <c r="F634" s="653"/>
    </row>
    <row r="635" spans="1:6">
      <c r="A635" s="545" t="s">
        <v>11</v>
      </c>
      <c r="B635" s="140" t="s">
        <v>12</v>
      </c>
      <c r="C635" s="546">
        <f>SUM(C636:C643)</f>
        <v>315.5</v>
      </c>
      <c r="D635" s="543" t="s">
        <v>72</v>
      </c>
      <c r="E635" s="600" t="s">
        <v>9</v>
      </c>
      <c r="F635" s="653"/>
    </row>
    <row r="636" spans="1:6">
      <c r="A636" s="545"/>
      <c r="B636" s="537" t="s">
        <v>14</v>
      </c>
      <c r="C636" s="544">
        <f>40.1</f>
        <v>40.1</v>
      </c>
      <c r="D636" s="543" t="s">
        <v>15</v>
      </c>
      <c r="E636" s="600" t="s">
        <v>18</v>
      </c>
      <c r="F636" s="653"/>
    </row>
    <row r="637" spans="1:6">
      <c r="A637" s="545"/>
      <c r="B637" s="537" t="s">
        <v>47</v>
      </c>
      <c r="C637" s="544">
        <v>23.4</v>
      </c>
      <c r="D637" s="543" t="s">
        <v>15</v>
      </c>
      <c r="E637" s="600" t="s">
        <v>18</v>
      </c>
      <c r="F637" s="653"/>
    </row>
    <row r="638" spans="1:6">
      <c r="A638" s="545"/>
      <c r="B638" s="537" t="s">
        <v>21</v>
      </c>
      <c r="C638" s="544">
        <v>2.5</v>
      </c>
      <c r="D638" s="543" t="s">
        <v>22</v>
      </c>
      <c r="E638" s="600" t="s">
        <v>18</v>
      </c>
      <c r="F638" s="653"/>
    </row>
    <row r="639" spans="1:6">
      <c r="A639" s="545"/>
      <c r="B639" s="537"/>
      <c r="C639" s="544"/>
      <c r="D639" s="543" t="s">
        <v>67</v>
      </c>
      <c r="E639" s="600" t="s">
        <v>68</v>
      </c>
      <c r="F639" s="653"/>
    </row>
    <row r="640" spans="1:6">
      <c r="A640" s="545"/>
      <c r="B640" s="537" t="s">
        <v>45</v>
      </c>
      <c r="C640" s="544">
        <v>14.5</v>
      </c>
      <c r="D640" s="543" t="s">
        <v>15</v>
      </c>
      <c r="E640" s="600" t="s">
        <v>42</v>
      </c>
      <c r="F640" s="653"/>
    </row>
    <row r="641" spans="1:6">
      <c r="A641" s="545"/>
      <c r="B641" s="537" t="s">
        <v>17</v>
      </c>
      <c r="C641" s="544">
        <v>87.5</v>
      </c>
      <c r="D641" s="543" t="s">
        <v>15</v>
      </c>
      <c r="E641" s="600" t="s">
        <v>18</v>
      </c>
      <c r="F641" s="653"/>
    </row>
    <row r="642" spans="1:6">
      <c r="A642" s="545"/>
      <c r="B642" s="537" t="s">
        <v>36</v>
      </c>
      <c r="C642" s="544">
        <v>135.69999999999999</v>
      </c>
      <c r="D642" s="543" t="s">
        <v>15</v>
      </c>
      <c r="E642" s="600" t="s">
        <v>18</v>
      </c>
      <c r="F642" s="653"/>
    </row>
    <row r="643" spans="1:6">
      <c r="A643" s="545"/>
      <c r="B643" s="537" t="s">
        <v>19</v>
      </c>
      <c r="C643" s="544">
        <v>11.8</v>
      </c>
      <c r="D643" s="543" t="s">
        <v>15</v>
      </c>
      <c r="E643" s="600" t="s">
        <v>18</v>
      </c>
      <c r="F643" s="653"/>
    </row>
    <row r="644" spans="1:6">
      <c r="A644" s="545" t="s">
        <v>29</v>
      </c>
      <c r="B644" s="140" t="s">
        <v>30</v>
      </c>
      <c r="C644" s="546">
        <f>SUM(C645:C647)</f>
        <v>189.7</v>
      </c>
      <c r="D644" s="543"/>
      <c r="E644" s="600"/>
      <c r="F644" s="653"/>
    </row>
    <row r="645" spans="1:6">
      <c r="A645" s="545"/>
      <c r="B645" s="537" t="s">
        <v>39</v>
      </c>
      <c r="C645" s="544">
        <v>40.299999999999997</v>
      </c>
      <c r="D645" s="543" t="s">
        <v>15</v>
      </c>
      <c r="E645" s="600" t="s">
        <v>18</v>
      </c>
      <c r="F645" s="653"/>
    </row>
    <row r="646" spans="1:6">
      <c r="A646" s="545"/>
      <c r="B646" s="537" t="s">
        <v>75</v>
      </c>
      <c r="C646" s="544">
        <v>31.1</v>
      </c>
      <c r="D646" s="543" t="s">
        <v>15</v>
      </c>
      <c r="E646" s="600" t="s">
        <v>42</v>
      </c>
      <c r="F646" s="653"/>
    </row>
    <row r="647" spans="1:6">
      <c r="A647" s="13"/>
      <c r="B647" s="141" t="s">
        <v>36</v>
      </c>
      <c r="C647" s="22">
        <v>118.3</v>
      </c>
      <c r="D647" s="42" t="s">
        <v>15</v>
      </c>
      <c r="E647" s="22" t="s">
        <v>18</v>
      </c>
      <c r="F647" s="654"/>
    </row>
    <row r="648" spans="1:6">
      <c r="A648" s="545"/>
      <c r="B648" s="289"/>
      <c r="C648" s="575">
        <f>C531+C546+C574+C603+C625</f>
        <v>3764.6000000000004</v>
      </c>
      <c r="D648" s="19"/>
      <c r="E648" s="600"/>
      <c r="F648" s="548"/>
    </row>
    <row r="649" spans="1:6">
      <c r="A649" s="699" t="s">
        <v>92</v>
      </c>
      <c r="B649" s="700"/>
      <c r="C649" s="700"/>
      <c r="D649" s="700"/>
      <c r="E649" s="700"/>
      <c r="F649" s="701"/>
    </row>
    <row r="650" spans="1:6">
      <c r="A650" s="9">
        <v>1</v>
      </c>
      <c r="B650" s="282" t="s">
        <v>93</v>
      </c>
      <c r="C650" s="452">
        <f>SUM(C651+C659+C666+C673)</f>
        <v>750.41</v>
      </c>
      <c r="D650" s="41" t="s">
        <v>72</v>
      </c>
      <c r="E650" s="17" t="s">
        <v>9</v>
      </c>
      <c r="F650" s="634" t="s">
        <v>94</v>
      </c>
    </row>
    <row r="651" spans="1:6">
      <c r="A651" s="545" t="s">
        <v>11</v>
      </c>
      <c r="B651" s="140" t="s">
        <v>12</v>
      </c>
      <c r="C651" s="546">
        <f>C652+C653+C654+C656+C657+C658</f>
        <v>138.39999999999998</v>
      </c>
      <c r="D651" s="543"/>
      <c r="E651" s="600"/>
      <c r="F651" s="635"/>
    </row>
    <row r="652" spans="1:6">
      <c r="A652" s="545"/>
      <c r="B652" s="537" t="s">
        <v>14</v>
      </c>
      <c r="C652" s="544">
        <v>10.4</v>
      </c>
      <c r="D652" s="543" t="s">
        <v>15</v>
      </c>
      <c r="E652" s="600" t="s">
        <v>18</v>
      </c>
      <c r="F652" s="635"/>
    </row>
    <row r="653" spans="1:6">
      <c r="A653" s="545"/>
      <c r="B653" s="537" t="s">
        <v>47</v>
      </c>
      <c r="C653" s="544">
        <v>36.200000000000003</v>
      </c>
      <c r="D653" s="543" t="s">
        <v>20</v>
      </c>
      <c r="E653" s="600" t="s">
        <v>18</v>
      </c>
      <c r="F653" s="635"/>
    </row>
    <row r="654" spans="1:6">
      <c r="A654" s="545"/>
      <c r="B654" s="537" t="s">
        <v>17</v>
      </c>
      <c r="C654" s="544">
        <v>58</v>
      </c>
      <c r="D654" s="543" t="s">
        <v>15</v>
      </c>
      <c r="E654" s="600" t="s">
        <v>18</v>
      </c>
      <c r="F654" s="635"/>
    </row>
    <row r="655" spans="1:6">
      <c r="A655" s="545"/>
      <c r="B655" s="537" t="s">
        <v>17</v>
      </c>
      <c r="C655" s="544">
        <v>26.7</v>
      </c>
      <c r="D655" s="543" t="s">
        <v>15</v>
      </c>
      <c r="E655" s="600" t="s">
        <v>18</v>
      </c>
      <c r="F655" s="635"/>
    </row>
    <row r="656" spans="1:6">
      <c r="A656" s="545"/>
      <c r="B656" s="537" t="s">
        <v>36</v>
      </c>
      <c r="C656" s="544">
        <v>33.799999999999997</v>
      </c>
      <c r="D656" s="543" t="s">
        <v>15</v>
      </c>
      <c r="E656" s="600" t="s">
        <v>18</v>
      </c>
      <c r="F656" s="635"/>
    </row>
    <row r="657" spans="1:6">
      <c r="A657" s="545"/>
      <c r="B657" s="537"/>
      <c r="C657" s="544"/>
      <c r="D657" s="543"/>
      <c r="E657" s="600"/>
      <c r="F657" s="635"/>
    </row>
    <row r="658" spans="1:6">
      <c r="A658" s="545"/>
      <c r="B658" s="537"/>
      <c r="C658" s="544"/>
      <c r="D658" s="543"/>
      <c r="E658" s="600"/>
      <c r="F658" s="635"/>
    </row>
    <row r="659" spans="1:6">
      <c r="A659" s="545" t="s">
        <v>29</v>
      </c>
      <c r="B659" s="140" t="s">
        <v>30</v>
      </c>
      <c r="C659" s="546">
        <f>SUM(C660:C665)</f>
        <v>167.1</v>
      </c>
      <c r="D659" s="543" t="s">
        <v>72</v>
      </c>
      <c r="E659" s="600" t="s">
        <v>9</v>
      </c>
      <c r="F659" s="635"/>
    </row>
    <row r="660" spans="1:6">
      <c r="A660" s="545"/>
      <c r="B660" s="537" t="s">
        <v>41</v>
      </c>
      <c r="C660" s="544">
        <v>60.5</v>
      </c>
      <c r="D660" s="543" t="s">
        <v>15</v>
      </c>
      <c r="E660" s="600" t="s">
        <v>42</v>
      </c>
      <c r="F660" s="635"/>
    </row>
    <row r="661" spans="1:6">
      <c r="A661" s="545"/>
      <c r="B661" s="537" t="s">
        <v>14</v>
      </c>
      <c r="C661" s="544">
        <v>57.3</v>
      </c>
      <c r="D661" s="543" t="s">
        <v>15</v>
      </c>
      <c r="E661" s="600" t="s">
        <v>18</v>
      </c>
      <c r="F661" s="635"/>
    </row>
    <row r="662" spans="1:6">
      <c r="A662" s="545"/>
      <c r="B662" s="537" t="s">
        <v>47</v>
      </c>
      <c r="C662" s="544">
        <v>31.4</v>
      </c>
      <c r="D662" s="543" t="s">
        <v>20</v>
      </c>
      <c r="E662" s="600" t="s">
        <v>18</v>
      </c>
      <c r="F662" s="635"/>
    </row>
    <row r="663" spans="1:6">
      <c r="A663" s="545"/>
      <c r="B663" s="537" t="s">
        <v>36</v>
      </c>
      <c r="C663" s="544">
        <v>9.3000000000000007</v>
      </c>
      <c r="D663" s="543" t="s">
        <v>15</v>
      </c>
      <c r="E663" s="600" t="s">
        <v>18</v>
      </c>
      <c r="F663" s="635"/>
    </row>
    <row r="664" spans="1:6">
      <c r="A664" s="545"/>
      <c r="B664" s="537" t="s">
        <v>21</v>
      </c>
      <c r="C664" s="544">
        <v>8.6</v>
      </c>
      <c r="D664" s="543" t="s">
        <v>22</v>
      </c>
      <c r="E664" s="600" t="s">
        <v>18</v>
      </c>
      <c r="F664" s="635"/>
    </row>
    <row r="665" spans="1:6">
      <c r="A665" s="545"/>
      <c r="B665" s="537"/>
      <c r="C665" s="544"/>
      <c r="D665" s="543"/>
      <c r="E665" s="600"/>
      <c r="F665" s="635"/>
    </row>
    <row r="666" spans="1:6">
      <c r="A666" s="545" t="s">
        <v>37</v>
      </c>
      <c r="B666" s="140" t="s">
        <v>38</v>
      </c>
      <c r="C666" s="546">
        <f>SUM(C667:C672)</f>
        <v>386.19999999999993</v>
      </c>
      <c r="D666" s="543" t="s">
        <v>72</v>
      </c>
      <c r="E666" s="600" t="s">
        <v>9</v>
      </c>
      <c r="F666" s="635"/>
    </row>
    <row r="667" spans="1:6">
      <c r="A667" s="545"/>
      <c r="B667" s="537" t="s">
        <v>17</v>
      </c>
      <c r="C667" s="544">
        <v>194.4</v>
      </c>
      <c r="D667" s="543" t="s">
        <v>15</v>
      </c>
      <c r="E667" s="600" t="s">
        <v>18</v>
      </c>
      <c r="F667" s="635"/>
    </row>
    <row r="668" spans="1:6">
      <c r="A668" s="545"/>
      <c r="B668" s="537" t="s">
        <v>14</v>
      </c>
      <c r="C668" s="544">
        <v>77.5</v>
      </c>
      <c r="D668" s="543" t="s">
        <v>15</v>
      </c>
      <c r="E668" s="600" t="s">
        <v>18</v>
      </c>
      <c r="F668" s="635"/>
    </row>
    <row r="669" spans="1:6">
      <c r="A669" s="545"/>
      <c r="B669" s="537" t="s">
        <v>47</v>
      </c>
      <c r="C669" s="544">
        <v>31.3</v>
      </c>
      <c r="D669" s="543" t="s">
        <v>20</v>
      </c>
      <c r="E669" s="600" t="s">
        <v>18</v>
      </c>
      <c r="F669" s="635"/>
    </row>
    <row r="670" spans="1:6">
      <c r="A670" s="545"/>
      <c r="B670" s="537" t="s">
        <v>36</v>
      </c>
      <c r="C670" s="544">
        <v>66.599999999999994</v>
      </c>
      <c r="D670" s="543" t="s">
        <v>15</v>
      </c>
      <c r="E670" s="600" t="s">
        <v>42</v>
      </c>
      <c r="F670" s="635"/>
    </row>
    <row r="671" spans="1:6">
      <c r="A671" s="545"/>
      <c r="B671" s="537" t="s">
        <v>21</v>
      </c>
      <c r="C671" s="544">
        <v>16.399999999999999</v>
      </c>
      <c r="D671" s="543" t="s">
        <v>22</v>
      </c>
      <c r="E671" s="600" t="s">
        <v>18</v>
      </c>
      <c r="F671" s="635"/>
    </row>
    <row r="672" spans="1:6">
      <c r="A672" s="545"/>
      <c r="B672" s="537"/>
      <c r="C672" s="544"/>
      <c r="D672" s="543"/>
      <c r="E672" s="600"/>
      <c r="F672" s="635"/>
    </row>
    <row r="673" spans="1:6">
      <c r="A673" s="545">
        <v>2</v>
      </c>
      <c r="B673" s="139" t="s">
        <v>95</v>
      </c>
      <c r="C673" s="25">
        <f>C674</f>
        <v>58.71</v>
      </c>
      <c r="D673" s="541">
        <v>7</v>
      </c>
      <c r="E673" s="600" t="s">
        <v>9</v>
      </c>
      <c r="F673" s="635"/>
    </row>
    <row r="674" spans="1:6">
      <c r="A674" s="545" t="s">
        <v>11</v>
      </c>
      <c r="B674" s="537" t="s">
        <v>96</v>
      </c>
      <c r="C674" s="544">
        <v>58.71</v>
      </c>
      <c r="D674" s="543" t="s">
        <v>15</v>
      </c>
      <c r="E674" s="600" t="s">
        <v>42</v>
      </c>
      <c r="F674" s="635"/>
    </row>
    <row r="675" spans="1:6">
      <c r="A675" s="545"/>
      <c r="B675" s="537"/>
      <c r="C675" s="544"/>
      <c r="D675" s="543"/>
      <c r="E675" s="600"/>
      <c r="F675" s="635"/>
    </row>
    <row r="676" spans="1:6">
      <c r="A676" s="545"/>
      <c r="B676" s="537"/>
      <c r="C676" s="544"/>
      <c r="D676" s="543"/>
      <c r="E676" s="600"/>
      <c r="F676" s="635"/>
    </row>
    <row r="677" spans="1:6">
      <c r="A677" s="13"/>
      <c r="B677" s="141"/>
      <c r="C677" s="22"/>
      <c r="D677" s="42"/>
      <c r="E677" s="22"/>
      <c r="F677" s="636"/>
    </row>
    <row r="678" spans="1:6">
      <c r="A678" s="699" t="s">
        <v>97</v>
      </c>
      <c r="B678" s="700"/>
      <c r="C678" s="700"/>
      <c r="D678" s="700"/>
      <c r="E678" s="700"/>
      <c r="F678" s="701"/>
    </row>
    <row r="679" spans="1:6">
      <c r="A679" s="9">
        <v>1</v>
      </c>
      <c r="B679" s="282" t="s">
        <v>98</v>
      </c>
      <c r="C679" s="89">
        <f>SUM(C681+C686+C690)</f>
        <v>674.5</v>
      </c>
      <c r="D679" s="540">
        <v>6</v>
      </c>
      <c r="E679" s="17" t="s">
        <v>9</v>
      </c>
      <c r="F679" s="669" t="s">
        <v>99</v>
      </c>
    </row>
    <row r="680" spans="1:6">
      <c r="A680" s="545" t="s">
        <v>11</v>
      </c>
      <c r="B680" s="140"/>
      <c r="C680" s="25">
        <f>C681+C686+C690</f>
        <v>674.5</v>
      </c>
      <c r="D680" s="543"/>
      <c r="E680" s="600"/>
      <c r="F680" s="670"/>
    </row>
    <row r="681" spans="1:6">
      <c r="A681" s="545"/>
      <c r="B681" s="140" t="s">
        <v>12</v>
      </c>
      <c r="C681" s="546">
        <f>SUM(C682:C685)</f>
        <v>142.6</v>
      </c>
      <c r="D681" s="60" t="s">
        <v>72</v>
      </c>
      <c r="E681" s="589" t="s">
        <v>9</v>
      </c>
      <c r="F681" s="670"/>
    </row>
    <row r="682" spans="1:6">
      <c r="A682" s="545"/>
      <c r="B682" s="537" t="s">
        <v>47</v>
      </c>
      <c r="C682" s="544">
        <v>15.3</v>
      </c>
      <c r="D682" s="543" t="s">
        <v>20</v>
      </c>
      <c r="E682" s="600" t="s">
        <v>18</v>
      </c>
      <c r="F682" s="670"/>
    </row>
    <row r="683" spans="1:6">
      <c r="A683" s="545"/>
      <c r="B683" s="80" t="s">
        <v>39</v>
      </c>
      <c r="C683" s="99">
        <v>10.4</v>
      </c>
      <c r="D683" s="543" t="s">
        <v>15</v>
      </c>
      <c r="E683" s="600" t="s">
        <v>18</v>
      </c>
      <c r="F683" s="670"/>
    </row>
    <row r="684" spans="1:6">
      <c r="A684" s="545"/>
      <c r="B684" s="80" t="s">
        <v>36</v>
      </c>
      <c r="C684" s="99">
        <v>60.8</v>
      </c>
      <c r="D684" s="543" t="s">
        <v>15</v>
      </c>
      <c r="E684" s="600" t="s">
        <v>18</v>
      </c>
      <c r="F684" s="670"/>
    </row>
    <row r="685" spans="1:6">
      <c r="A685" s="545"/>
      <c r="B685" s="80" t="s">
        <v>100</v>
      </c>
      <c r="C685" s="99">
        <v>56.1</v>
      </c>
      <c r="D685" s="543" t="s">
        <v>15</v>
      </c>
      <c r="E685" s="600" t="s">
        <v>18</v>
      </c>
      <c r="F685" s="670"/>
    </row>
    <row r="686" spans="1:6">
      <c r="A686" s="545" t="s">
        <v>29</v>
      </c>
      <c r="B686" s="140" t="s">
        <v>30</v>
      </c>
      <c r="C686" s="100">
        <f>SUM(C687:C689)</f>
        <v>213.4</v>
      </c>
      <c r="D686" s="60" t="s">
        <v>72</v>
      </c>
      <c r="E686" s="589" t="s">
        <v>9</v>
      </c>
      <c r="F686" s="670"/>
    </row>
    <row r="687" spans="1:6">
      <c r="A687" s="545"/>
      <c r="B687" s="537" t="s">
        <v>47</v>
      </c>
      <c r="C687" s="101">
        <v>15.3</v>
      </c>
      <c r="D687" s="543" t="s">
        <v>20</v>
      </c>
      <c r="E687" s="600" t="s">
        <v>18</v>
      </c>
      <c r="F687" s="670"/>
    </row>
    <row r="688" spans="1:6">
      <c r="A688" s="545"/>
      <c r="B688" s="283" t="s">
        <v>17</v>
      </c>
      <c r="C688" s="102">
        <v>128.19999999999999</v>
      </c>
      <c r="D688" s="543" t="s">
        <v>15</v>
      </c>
      <c r="E688" s="600" t="s">
        <v>18</v>
      </c>
      <c r="F688" s="670"/>
    </row>
    <row r="689" spans="1:6">
      <c r="A689" s="545"/>
      <c r="B689" s="283" t="s">
        <v>101</v>
      </c>
      <c r="C689" s="102">
        <v>69.900000000000006</v>
      </c>
      <c r="D689" s="543" t="s">
        <v>15</v>
      </c>
      <c r="E689" s="600" t="s">
        <v>18</v>
      </c>
      <c r="F689" s="670"/>
    </row>
    <row r="690" spans="1:6">
      <c r="A690" s="30" t="s">
        <v>37</v>
      </c>
      <c r="B690" s="140" t="s">
        <v>102</v>
      </c>
      <c r="C690" s="25">
        <f>SUM(C691:C698)</f>
        <v>318.5</v>
      </c>
      <c r="D690" s="60" t="s">
        <v>72</v>
      </c>
      <c r="E690" s="589" t="s">
        <v>9</v>
      </c>
      <c r="F690" s="670"/>
    </row>
    <row r="691" spans="1:6">
      <c r="A691" s="30"/>
      <c r="B691" s="283" t="s">
        <v>101</v>
      </c>
      <c r="C691" s="102">
        <v>127.1</v>
      </c>
      <c r="D691" s="543" t="s">
        <v>15</v>
      </c>
      <c r="E691" s="600" t="s">
        <v>18</v>
      </c>
      <c r="F691" s="670"/>
    </row>
    <row r="692" spans="1:6">
      <c r="A692" s="30"/>
      <c r="B692" s="283" t="s">
        <v>41</v>
      </c>
      <c r="C692" s="102">
        <v>55.5</v>
      </c>
      <c r="D692" s="543" t="s">
        <v>15</v>
      </c>
      <c r="E692" s="600" t="s">
        <v>42</v>
      </c>
      <c r="F692" s="670"/>
    </row>
    <row r="693" spans="1:6">
      <c r="A693" s="30"/>
      <c r="B693" s="283" t="s">
        <v>103</v>
      </c>
      <c r="C693" s="102">
        <v>30</v>
      </c>
      <c r="D693" s="543" t="s">
        <v>15</v>
      </c>
      <c r="E693" s="600" t="s">
        <v>18</v>
      </c>
      <c r="F693" s="670"/>
    </row>
    <row r="694" spans="1:6">
      <c r="A694" s="30"/>
      <c r="B694" s="283" t="s">
        <v>39</v>
      </c>
      <c r="C694" s="102">
        <v>3.8</v>
      </c>
      <c r="D694" s="543" t="s">
        <v>15</v>
      </c>
      <c r="E694" s="600" t="s">
        <v>18</v>
      </c>
      <c r="F694" s="670"/>
    </row>
    <row r="695" spans="1:6">
      <c r="A695" s="30"/>
      <c r="B695" s="702" t="s">
        <v>104</v>
      </c>
      <c r="C695" s="703">
        <v>4.5</v>
      </c>
      <c r="D695" s="543" t="s">
        <v>22</v>
      </c>
      <c r="E695" s="600" t="s">
        <v>18</v>
      </c>
      <c r="F695" s="670"/>
    </row>
    <row r="696" spans="1:6">
      <c r="A696" s="30"/>
      <c r="B696" s="702"/>
      <c r="C696" s="703"/>
      <c r="D696" s="543" t="s">
        <v>67</v>
      </c>
      <c r="E696" s="600" t="s">
        <v>68</v>
      </c>
      <c r="F696" s="670"/>
    </row>
    <row r="697" spans="1:6">
      <c r="A697" s="30"/>
      <c r="B697" s="283" t="s">
        <v>47</v>
      </c>
      <c r="C697" s="102">
        <v>15.3</v>
      </c>
      <c r="D697" s="543" t="s">
        <v>15</v>
      </c>
      <c r="E697" s="600" t="s">
        <v>18</v>
      </c>
      <c r="F697" s="670"/>
    </row>
    <row r="698" spans="1:6" s="95" customFormat="1" ht="15.75">
      <c r="A698" s="31"/>
      <c r="B698" s="284" t="s">
        <v>105</v>
      </c>
      <c r="C698" s="103">
        <v>82.3</v>
      </c>
      <c r="D698" s="42" t="s">
        <v>15</v>
      </c>
      <c r="E698" s="22" t="s">
        <v>18</v>
      </c>
      <c r="F698" s="671"/>
    </row>
    <row r="699" spans="1:6" ht="15.75">
      <c r="A699" s="434"/>
      <c r="B699" s="435" t="s">
        <v>106</v>
      </c>
      <c r="C699" s="436">
        <f>C528+C648++C650+C679</f>
        <v>8899.4800000000014</v>
      </c>
      <c r="D699" s="437"/>
      <c r="E699" s="438"/>
      <c r="F699" s="439"/>
    </row>
    <row r="700" spans="1:6" ht="18">
      <c r="A700" s="692" t="s">
        <v>107</v>
      </c>
      <c r="B700" s="692"/>
      <c r="C700" s="692"/>
      <c r="D700" s="692"/>
      <c r="E700" s="692"/>
      <c r="F700" s="692"/>
    </row>
    <row r="701" spans="1:6">
      <c r="A701" s="693" t="s">
        <v>997</v>
      </c>
      <c r="B701" s="694"/>
      <c r="C701" s="694"/>
      <c r="D701" s="694"/>
      <c r="E701" s="694"/>
      <c r="F701" s="695"/>
    </row>
    <row r="702" spans="1:6" ht="25.5">
      <c r="A702" s="108">
        <v>1</v>
      </c>
      <c r="B702" s="285" t="s">
        <v>109</v>
      </c>
      <c r="C702" s="109">
        <f>SUM(C704+C712+C721)</f>
        <v>972.73</v>
      </c>
      <c r="D702" s="529"/>
      <c r="E702" s="110"/>
      <c r="F702" s="696" t="s">
        <v>110</v>
      </c>
    </row>
    <row r="703" spans="1:6">
      <c r="A703" s="28"/>
      <c r="B703" s="81"/>
      <c r="C703" s="107">
        <f>C704+C712</f>
        <v>530.63</v>
      </c>
      <c r="D703" s="114"/>
      <c r="E703" s="99"/>
      <c r="F703" s="697"/>
    </row>
    <row r="704" spans="1:6">
      <c r="A704" s="28" t="s">
        <v>11</v>
      </c>
      <c r="B704" s="81" t="s">
        <v>12</v>
      </c>
      <c r="C704" s="107">
        <f>SUM(C705:C711)</f>
        <v>154.73000000000002</v>
      </c>
      <c r="D704" s="60" t="s">
        <v>72</v>
      </c>
      <c r="E704" s="589" t="s">
        <v>9</v>
      </c>
      <c r="F704" s="697"/>
    </row>
    <row r="705" spans="1:6">
      <c r="A705" s="28"/>
      <c r="B705" s="66" t="s">
        <v>47</v>
      </c>
      <c r="C705" s="99">
        <v>23.32</v>
      </c>
      <c r="D705" s="114" t="s">
        <v>111</v>
      </c>
      <c r="E705" s="99" t="s">
        <v>18</v>
      </c>
      <c r="F705" s="697"/>
    </row>
    <row r="706" spans="1:6">
      <c r="A706" s="28"/>
      <c r="B706" s="66" t="s">
        <v>21</v>
      </c>
      <c r="C706" s="99">
        <v>2</v>
      </c>
      <c r="D706" s="114" t="s">
        <v>112</v>
      </c>
      <c r="E706" s="99" t="s">
        <v>18</v>
      </c>
      <c r="F706" s="697"/>
    </row>
    <row r="707" spans="1:6">
      <c r="A707" s="28"/>
      <c r="B707" s="66"/>
      <c r="C707" s="99"/>
      <c r="D707" s="114" t="s">
        <v>113</v>
      </c>
      <c r="E707" s="99" t="s">
        <v>68</v>
      </c>
      <c r="F707" s="697"/>
    </row>
    <row r="708" spans="1:6">
      <c r="A708" s="28"/>
      <c r="B708" s="66" t="s">
        <v>114</v>
      </c>
      <c r="C708" s="99">
        <v>29.81</v>
      </c>
      <c r="D708" s="114" t="s">
        <v>15</v>
      </c>
      <c r="E708" s="99" t="s">
        <v>18</v>
      </c>
      <c r="F708" s="697"/>
    </row>
    <row r="709" spans="1:6">
      <c r="A709" s="28"/>
      <c r="B709" s="66" t="s">
        <v>71</v>
      </c>
      <c r="C709" s="99">
        <v>22.7</v>
      </c>
      <c r="D709" s="114" t="s">
        <v>15</v>
      </c>
      <c r="E709" s="99" t="s">
        <v>18</v>
      </c>
      <c r="F709" s="697"/>
    </row>
    <row r="710" spans="1:6">
      <c r="A710" s="28"/>
      <c r="B710" s="66" t="s">
        <v>17</v>
      </c>
      <c r="C710" s="99">
        <v>55.1</v>
      </c>
      <c r="D710" s="114" t="s">
        <v>15</v>
      </c>
      <c r="E710" s="99" t="s">
        <v>18</v>
      </c>
      <c r="F710" s="697"/>
    </row>
    <row r="711" spans="1:6">
      <c r="A711" s="28"/>
      <c r="B711" s="66" t="s">
        <v>36</v>
      </c>
      <c r="C711" s="99">
        <v>21.8</v>
      </c>
      <c r="D711" s="114" t="s">
        <v>27</v>
      </c>
      <c r="E711" s="99" t="s">
        <v>42</v>
      </c>
      <c r="F711" s="697"/>
    </row>
    <row r="712" spans="1:6">
      <c r="A712" s="28" t="s">
        <v>29</v>
      </c>
      <c r="B712" s="81" t="s">
        <v>30</v>
      </c>
      <c r="C712" s="107">
        <f>SUM(C713:C720)</f>
        <v>375.9</v>
      </c>
      <c r="D712" s="60" t="s">
        <v>72</v>
      </c>
      <c r="E712" s="589" t="s">
        <v>9</v>
      </c>
      <c r="F712" s="697"/>
    </row>
    <row r="713" spans="1:6">
      <c r="A713" s="28"/>
      <c r="B713" s="66" t="s">
        <v>17</v>
      </c>
      <c r="C713" s="99">
        <v>207.1</v>
      </c>
      <c r="D713" s="114" t="s">
        <v>15</v>
      </c>
      <c r="E713" s="99" t="s">
        <v>18</v>
      </c>
      <c r="F713" s="697"/>
    </row>
    <row r="714" spans="1:6">
      <c r="A714" s="28"/>
      <c r="B714" s="66" t="s">
        <v>14</v>
      </c>
      <c r="C714" s="99">
        <v>59.3</v>
      </c>
      <c r="D714" s="114" t="s">
        <v>27</v>
      </c>
      <c r="E714" s="99" t="s">
        <v>18</v>
      </c>
      <c r="F714" s="697"/>
    </row>
    <row r="715" spans="1:6">
      <c r="A715" s="28"/>
      <c r="B715" s="66" t="s">
        <v>47</v>
      </c>
      <c r="C715" s="99">
        <v>16</v>
      </c>
      <c r="D715" s="114" t="s">
        <v>111</v>
      </c>
      <c r="E715" s="99" t="s">
        <v>18</v>
      </c>
      <c r="F715" s="697"/>
    </row>
    <row r="716" spans="1:6">
      <c r="A716" s="28"/>
      <c r="B716" s="66" t="s">
        <v>75</v>
      </c>
      <c r="C716" s="99">
        <v>61.3</v>
      </c>
      <c r="D716" s="114" t="s">
        <v>111</v>
      </c>
      <c r="E716" s="99" t="s">
        <v>42</v>
      </c>
      <c r="F716" s="697"/>
    </row>
    <row r="717" spans="1:6">
      <c r="A717" s="28"/>
      <c r="B717" s="66" t="s">
        <v>19</v>
      </c>
      <c r="C717" s="99">
        <v>18.8</v>
      </c>
      <c r="D717" s="114" t="s">
        <v>15</v>
      </c>
      <c r="E717" s="99" t="s">
        <v>18</v>
      </c>
      <c r="F717" s="697"/>
    </row>
    <row r="718" spans="1:6">
      <c r="A718" s="28"/>
      <c r="B718" s="66" t="s">
        <v>36</v>
      </c>
      <c r="C718" s="99">
        <v>9.9</v>
      </c>
      <c r="D718" s="114" t="s">
        <v>15</v>
      </c>
      <c r="E718" s="99" t="s">
        <v>42</v>
      </c>
      <c r="F718" s="697"/>
    </row>
    <row r="719" spans="1:6">
      <c r="A719" s="28"/>
      <c r="B719" s="66" t="s">
        <v>21</v>
      </c>
      <c r="C719" s="99">
        <v>3.5</v>
      </c>
      <c r="D719" s="114" t="s">
        <v>112</v>
      </c>
      <c r="E719" s="99" t="s">
        <v>18</v>
      </c>
      <c r="F719" s="697"/>
    </row>
    <row r="720" spans="1:6">
      <c r="A720" s="28"/>
      <c r="B720" s="66"/>
      <c r="C720" s="99"/>
      <c r="D720" s="114" t="s">
        <v>113</v>
      </c>
      <c r="E720" s="99" t="s">
        <v>68</v>
      </c>
      <c r="F720" s="698"/>
    </row>
    <row r="721" spans="1:6">
      <c r="A721" s="108"/>
      <c r="B721" s="286" t="s">
        <v>38</v>
      </c>
      <c r="C721" s="109">
        <f>SUM(C722:C729)</f>
        <v>442.09999999999997</v>
      </c>
      <c r="D721" s="619" t="s">
        <v>72</v>
      </c>
      <c r="E721" s="596" t="s">
        <v>9</v>
      </c>
      <c r="F721" s="652" t="s">
        <v>115</v>
      </c>
    </row>
    <row r="722" spans="1:6">
      <c r="A722" s="28" t="s">
        <v>37</v>
      </c>
      <c r="B722" s="66" t="s">
        <v>17</v>
      </c>
      <c r="C722" s="99">
        <v>206.7</v>
      </c>
      <c r="D722" s="114" t="s">
        <v>15</v>
      </c>
      <c r="E722" s="606" t="s">
        <v>18</v>
      </c>
      <c r="F722" s="653"/>
    </row>
    <row r="723" spans="1:6">
      <c r="A723" s="28"/>
      <c r="B723" s="66" t="s">
        <v>39</v>
      </c>
      <c r="C723" s="99">
        <v>60.9</v>
      </c>
      <c r="D723" s="114" t="s">
        <v>27</v>
      </c>
      <c r="E723" s="606" t="s">
        <v>18</v>
      </c>
      <c r="F723" s="653"/>
    </row>
    <row r="724" spans="1:6">
      <c r="A724" s="28"/>
      <c r="B724" s="66" t="s">
        <v>36</v>
      </c>
      <c r="C724" s="99">
        <v>86.7</v>
      </c>
      <c r="D724" s="114" t="s">
        <v>15</v>
      </c>
      <c r="E724" s="606" t="s">
        <v>18</v>
      </c>
      <c r="F724" s="653"/>
    </row>
    <row r="725" spans="1:6">
      <c r="A725" s="28"/>
      <c r="B725" s="66" t="s">
        <v>45</v>
      </c>
      <c r="C725" s="99">
        <v>40.5</v>
      </c>
      <c r="D725" s="114" t="s">
        <v>15</v>
      </c>
      <c r="E725" s="606" t="s">
        <v>42</v>
      </c>
      <c r="F725" s="653"/>
    </row>
    <row r="726" spans="1:6">
      <c r="A726" s="28"/>
      <c r="B726" s="66" t="s">
        <v>21</v>
      </c>
      <c r="C726" s="99">
        <v>5.6</v>
      </c>
      <c r="D726" s="114" t="s">
        <v>112</v>
      </c>
      <c r="E726" s="606" t="s">
        <v>18</v>
      </c>
      <c r="F726" s="653"/>
    </row>
    <row r="727" spans="1:6">
      <c r="A727" s="28"/>
      <c r="B727" s="66"/>
      <c r="C727" s="99"/>
      <c r="D727" s="114" t="s">
        <v>113</v>
      </c>
      <c r="E727" s="606" t="s">
        <v>68</v>
      </c>
      <c r="F727" s="653"/>
    </row>
    <row r="728" spans="1:6">
      <c r="A728" s="28"/>
      <c r="B728" s="66" t="s">
        <v>19</v>
      </c>
      <c r="C728" s="99">
        <v>9.3000000000000007</v>
      </c>
      <c r="D728" s="114" t="s">
        <v>15</v>
      </c>
      <c r="E728" s="606" t="s">
        <v>18</v>
      </c>
      <c r="F728" s="653"/>
    </row>
    <row r="729" spans="1:6">
      <c r="A729" s="28"/>
      <c r="B729" s="66" t="s">
        <v>47</v>
      </c>
      <c r="C729" s="99">
        <v>32.4</v>
      </c>
      <c r="D729" s="105" t="s">
        <v>111</v>
      </c>
      <c r="E729" s="608" t="s">
        <v>18</v>
      </c>
      <c r="F729" s="653"/>
    </row>
    <row r="730" spans="1:6" ht="25.5">
      <c r="A730" s="108">
        <v>2</v>
      </c>
      <c r="B730" s="285" t="s">
        <v>116</v>
      </c>
      <c r="C730" s="109">
        <f>C731</f>
        <v>171.09999999999997</v>
      </c>
      <c r="D730" s="529"/>
      <c r="E730" s="110"/>
      <c r="F730" s="652" t="s">
        <v>117</v>
      </c>
    </row>
    <row r="731" spans="1:6">
      <c r="A731" s="28"/>
      <c r="B731" s="81" t="s">
        <v>78</v>
      </c>
      <c r="C731" s="106">
        <f>SUM(C732:C737)</f>
        <v>171.09999999999997</v>
      </c>
      <c r="D731" s="60" t="s">
        <v>72</v>
      </c>
      <c r="E731" s="589" t="s">
        <v>9</v>
      </c>
      <c r="F731" s="653"/>
    </row>
    <row r="732" spans="1:6">
      <c r="A732" s="28" t="s">
        <v>11</v>
      </c>
      <c r="B732" s="66" t="s">
        <v>17</v>
      </c>
      <c r="C732" s="99">
        <v>64.3</v>
      </c>
      <c r="D732" s="114" t="s">
        <v>15</v>
      </c>
      <c r="E732" s="99" t="s">
        <v>18</v>
      </c>
      <c r="F732" s="653"/>
    </row>
    <row r="733" spans="1:6">
      <c r="A733" s="28"/>
      <c r="B733" s="66" t="s">
        <v>36</v>
      </c>
      <c r="C733" s="99">
        <v>14.1</v>
      </c>
      <c r="D733" s="114" t="s">
        <v>15</v>
      </c>
      <c r="E733" s="99" t="s">
        <v>18</v>
      </c>
      <c r="F733" s="653"/>
    </row>
    <row r="734" spans="1:6">
      <c r="A734" s="28"/>
      <c r="B734" s="66" t="s">
        <v>39</v>
      </c>
      <c r="C734" s="99">
        <v>38.9</v>
      </c>
      <c r="D734" s="114" t="s">
        <v>27</v>
      </c>
      <c r="E734" s="99" t="s">
        <v>18</v>
      </c>
      <c r="F734" s="653"/>
    </row>
    <row r="735" spans="1:6">
      <c r="A735" s="28"/>
      <c r="B735" s="66" t="s">
        <v>45</v>
      </c>
      <c r="C735" s="99">
        <v>2.5</v>
      </c>
      <c r="D735" s="114" t="s">
        <v>15</v>
      </c>
      <c r="E735" s="99" t="s">
        <v>42</v>
      </c>
      <c r="F735" s="653"/>
    </row>
    <row r="736" spans="1:6">
      <c r="A736" s="28"/>
      <c r="B736" s="66" t="s">
        <v>19</v>
      </c>
      <c r="C736" s="99">
        <v>27.7</v>
      </c>
      <c r="D736" s="114" t="s">
        <v>15</v>
      </c>
      <c r="E736" s="99" t="s">
        <v>18</v>
      </c>
      <c r="F736" s="653"/>
    </row>
    <row r="737" spans="1:6">
      <c r="A737" s="28"/>
      <c r="B737" s="66" t="s">
        <v>118</v>
      </c>
      <c r="C737" s="99">
        <v>23.6</v>
      </c>
      <c r="D737" s="114" t="s">
        <v>15</v>
      </c>
      <c r="E737" s="99" t="s">
        <v>18</v>
      </c>
      <c r="F737" s="653"/>
    </row>
    <row r="738" spans="1:6">
      <c r="A738" s="108">
        <v>3</v>
      </c>
      <c r="B738" s="285" t="s">
        <v>119</v>
      </c>
      <c r="C738" s="117">
        <f>SUM(C739+C746)</f>
        <v>239.49999999999997</v>
      </c>
      <c r="D738" s="115"/>
      <c r="E738" s="110"/>
      <c r="F738" s="652" t="s">
        <v>120</v>
      </c>
    </row>
    <row r="739" spans="1:6">
      <c r="A739" s="28" t="s">
        <v>11</v>
      </c>
      <c r="B739" s="81" t="s">
        <v>78</v>
      </c>
      <c r="C739" s="107">
        <f>SUM(C740:C745)</f>
        <v>93.6</v>
      </c>
      <c r="D739" s="60" t="s">
        <v>72</v>
      </c>
      <c r="E739" s="589" t="s">
        <v>9</v>
      </c>
      <c r="F739" s="653"/>
    </row>
    <row r="740" spans="1:6">
      <c r="A740" s="28"/>
      <c r="B740" s="66" t="s">
        <v>17</v>
      </c>
      <c r="C740" s="99">
        <v>15.6</v>
      </c>
      <c r="D740" s="114" t="s">
        <v>15</v>
      </c>
      <c r="E740" s="99" t="s">
        <v>18</v>
      </c>
      <c r="F740" s="653"/>
    </row>
    <row r="741" spans="1:6">
      <c r="A741" s="28"/>
      <c r="B741" s="66" t="s">
        <v>36</v>
      </c>
      <c r="C741" s="99">
        <v>21.5</v>
      </c>
      <c r="D741" s="114" t="s">
        <v>15</v>
      </c>
      <c r="E741" s="99" t="s">
        <v>18</v>
      </c>
      <c r="F741" s="653"/>
    </row>
    <row r="742" spans="1:6">
      <c r="A742" s="28"/>
      <c r="B742" s="66" t="s">
        <v>39</v>
      </c>
      <c r="C742" s="99">
        <v>25.7</v>
      </c>
      <c r="D742" s="114" t="s">
        <v>27</v>
      </c>
      <c r="E742" s="99" t="s">
        <v>18</v>
      </c>
      <c r="F742" s="653"/>
    </row>
    <row r="743" spans="1:6">
      <c r="A743" s="28"/>
      <c r="B743" s="66" t="s">
        <v>21</v>
      </c>
      <c r="C743" s="99">
        <v>1.8</v>
      </c>
      <c r="D743" s="114" t="s">
        <v>112</v>
      </c>
      <c r="E743" s="99" t="s">
        <v>18</v>
      </c>
      <c r="F743" s="653"/>
    </row>
    <row r="744" spans="1:6">
      <c r="A744" s="28"/>
      <c r="B744" s="66"/>
      <c r="C744" s="99"/>
      <c r="D744" s="114" t="s">
        <v>113</v>
      </c>
      <c r="E744" s="99" t="s">
        <v>68</v>
      </c>
      <c r="F744" s="653"/>
    </row>
    <row r="745" spans="1:6">
      <c r="A745" s="28"/>
      <c r="B745" s="66" t="s">
        <v>47</v>
      </c>
      <c r="C745" s="99">
        <v>29</v>
      </c>
      <c r="D745" s="114" t="s">
        <v>111</v>
      </c>
      <c r="E745" s="99" t="s">
        <v>18</v>
      </c>
      <c r="F745" s="653"/>
    </row>
    <row r="746" spans="1:6">
      <c r="A746" s="28" t="s">
        <v>29</v>
      </c>
      <c r="B746" s="81" t="s">
        <v>30</v>
      </c>
      <c r="C746" s="107">
        <f>SUM(C747:C751)</f>
        <v>145.89999999999998</v>
      </c>
      <c r="D746" s="60" t="s">
        <v>72</v>
      </c>
      <c r="E746" s="589" t="s">
        <v>9</v>
      </c>
      <c r="F746" s="653"/>
    </row>
    <row r="747" spans="1:6">
      <c r="A747" s="28"/>
      <c r="B747" s="66" t="s">
        <v>36</v>
      </c>
      <c r="C747" s="99">
        <v>30.1</v>
      </c>
      <c r="D747" s="114" t="s">
        <v>15</v>
      </c>
      <c r="E747" s="99" t="s">
        <v>18</v>
      </c>
      <c r="F747" s="653"/>
    </row>
    <row r="748" spans="1:6">
      <c r="A748" s="28"/>
      <c r="B748" s="66" t="s">
        <v>19</v>
      </c>
      <c r="C748" s="99">
        <v>16.100000000000001</v>
      </c>
      <c r="D748" s="114" t="s">
        <v>15</v>
      </c>
      <c r="E748" s="99" t="s">
        <v>18</v>
      </c>
      <c r="F748" s="653"/>
    </row>
    <row r="749" spans="1:6">
      <c r="A749" s="28"/>
      <c r="B749" s="66" t="s">
        <v>71</v>
      </c>
      <c r="C749" s="99">
        <v>26.3</v>
      </c>
      <c r="D749" s="114" t="s">
        <v>15</v>
      </c>
      <c r="E749" s="99" t="s">
        <v>18</v>
      </c>
      <c r="F749" s="653"/>
    </row>
    <row r="750" spans="1:6">
      <c r="A750" s="28"/>
      <c r="B750" s="66" t="s">
        <v>114</v>
      </c>
      <c r="C750" s="99">
        <v>57.7</v>
      </c>
      <c r="D750" s="114" t="s">
        <v>15</v>
      </c>
      <c r="E750" s="99" t="s">
        <v>18</v>
      </c>
      <c r="F750" s="653"/>
    </row>
    <row r="751" spans="1:6">
      <c r="A751" s="111"/>
      <c r="B751" s="82" t="s">
        <v>47</v>
      </c>
      <c r="C751" s="112">
        <v>15.7</v>
      </c>
      <c r="D751" s="105" t="s">
        <v>20</v>
      </c>
      <c r="E751" s="112" t="s">
        <v>18</v>
      </c>
      <c r="F751" s="654"/>
    </row>
    <row r="752" spans="1:6">
      <c r="A752" s="28"/>
      <c r="B752" s="67"/>
      <c r="C752" s="457">
        <f>C703+C721+C730+C738</f>
        <v>1383.33</v>
      </c>
      <c r="D752" s="455"/>
      <c r="E752" s="99"/>
      <c r="F752" s="548"/>
    </row>
    <row r="753" spans="1:6">
      <c r="A753" s="693" t="s">
        <v>121</v>
      </c>
      <c r="B753" s="694"/>
      <c r="C753" s="694"/>
      <c r="D753" s="694"/>
      <c r="E753" s="694"/>
      <c r="F753" s="695"/>
    </row>
    <row r="754" spans="1:6" ht="25.5">
      <c r="A754" s="108">
        <v>4</v>
      </c>
      <c r="B754" s="285" t="s">
        <v>122</v>
      </c>
      <c r="C754" s="456">
        <f>SUM(C755+C763+C772)</f>
        <v>857.44999999999993</v>
      </c>
      <c r="D754" s="529"/>
      <c r="E754" s="110"/>
      <c r="F754" s="652" t="s">
        <v>123</v>
      </c>
    </row>
    <row r="755" spans="1:6">
      <c r="A755" s="28" t="s">
        <v>11</v>
      </c>
      <c r="B755" s="81" t="s">
        <v>12</v>
      </c>
      <c r="C755" s="107">
        <f>SUM(C756:C762)</f>
        <v>168.05</v>
      </c>
      <c r="D755" s="60" t="s">
        <v>72</v>
      </c>
      <c r="E755" s="589" t="s">
        <v>9</v>
      </c>
      <c r="F755" s="653"/>
    </row>
    <row r="756" spans="1:6">
      <c r="A756" s="28"/>
      <c r="B756" s="66" t="s">
        <v>17</v>
      </c>
      <c r="C756" s="99">
        <v>47.7</v>
      </c>
      <c r="D756" s="114" t="s">
        <v>15</v>
      </c>
      <c r="E756" s="99" t="s">
        <v>18</v>
      </c>
      <c r="F756" s="653"/>
    </row>
    <row r="757" spans="1:6">
      <c r="A757" s="28"/>
      <c r="B757" s="66" t="s">
        <v>114</v>
      </c>
      <c r="C757" s="99">
        <v>26.3</v>
      </c>
      <c r="D757" s="114" t="s">
        <v>15</v>
      </c>
      <c r="E757" s="99" t="s">
        <v>18</v>
      </c>
      <c r="F757" s="653"/>
    </row>
    <row r="758" spans="1:6">
      <c r="A758" s="28"/>
      <c r="B758" s="66" t="s">
        <v>71</v>
      </c>
      <c r="C758" s="99">
        <v>29.1</v>
      </c>
      <c r="D758" s="114" t="s">
        <v>15</v>
      </c>
      <c r="E758" s="99" t="s">
        <v>18</v>
      </c>
      <c r="F758" s="653"/>
    </row>
    <row r="759" spans="1:6">
      <c r="A759" s="28"/>
      <c r="B759" s="66" t="s">
        <v>36</v>
      </c>
      <c r="C759" s="99">
        <v>21.2</v>
      </c>
      <c r="D759" s="114" t="s">
        <v>15</v>
      </c>
      <c r="E759" s="99" t="s">
        <v>42</v>
      </c>
      <c r="F759" s="653"/>
    </row>
    <row r="760" spans="1:6">
      <c r="A760" s="28"/>
      <c r="B760" s="66" t="s">
        <v>21</v>
      </c>
      <c r="C760" s="99">
        <v>7.1</v>
      </c>
      <c r="D760" s="114" t="s">
        <v>112</v>
      </c>
      <c r="E760" s="99" t="s">
        <v>18</v>
      </c>
      <c r="F760" s="653"/>
    </row>
    <row r="761" spans="1:6">
      <c r="A761" s="28"/>
      <c r="B761" s="66"/>
      <c r="C761" s="99"/>
      <c r="D761" s="114" t="s">
        <v>124</v>
      </c>
      <c r="E761" s="99" t="s">
        <v>68</v>
      </c>
      <c r="F761" s="653"/>
    </row>
    <row r="762" spans="1:6">
      <c r="A762" s="28"/>
      <c r="B762" s="66" t="s">
        <v>14</v>
      </c>
      <c r="C762" s="99">
        <v>36.65</v>
      </c>
      <c r="D762" s="114" t="s">
        <v>111</v>
      </c>
      <c r="E762" s="99" t="s">
        <v>18</v>
      </c>
      <c r="F762" s="653"/>
    </row>
    <row r="763" spans="1:6">
      <c r="A763" s="28" t="s">
        <v>29</v>
      </c>
      <c r="B763" s="81" t="s">
        <v>30</v>
      </c>
      <c r="C763" s="107">
        <f>SUM(C764:C771)</f>
        <v>251.6</v>
      </c>
      <c r="D763" s="60" t="s">
        <v>72</v>
      </c>
      <c r="E763" s="589" t="s">
        <v>9</v>
      </c>
      <c r="F763" s="653"/>
    </row>
    <row r="764" spans="1:6">
      <c r="A764" s="28"/>
      <c r="B764" s="66" t="s">
        <v>17</v>
      </c>
      <c r="C764" s="99">
        <v>93.6</v>
      </c>
      <c r="D764" s="114" t="s">
        <v>15</v>
      </c>
      <c r="E764" s="99" t="s">
        <v>18</v>
      </c>
      <c r="F764" s="653"/>
    </row>
    <row r="765" spans="1:6">
      <c r="A765" s="28"/>
      <c r="B765" s="66" t="s">
        <v>14</v>
      </c>
      <c r="C765" s="99">
        <v>31.9</v>
      </c>
      <c r="D765" s="114" t="s">
        <v>27</v>
      </c>
      <c r="E765" s="99" t="s">
        <v>18</v>
      </c>
      <c r="F765" s="653"/>
    </row>
    <row r="766" spans="1:6">
      <c r="A766" s="28"/>
      <c r="B766" s="66" t="s">
        <v>19</v>
      </c>
      <c r="C766" s="99">
        <v>18.100000000000001</v>
      </c>
      <c r="D766" s="114" t="s">
        <v>15</v>
      </c>
      <c r="E766" s="99" t="s">
        <v>18</v>
      </c>
      <c r="F766" s="653"/>
    </row>
    <row r="767" spans="1:6">
      <c r="A767" s="28"/>
      <c r="B767" s="66" t="s">
        <v>75</v>
      </c>
      <c r="C767" s="99">
        <v>57.7</v>
      </c>
      <c r="D767" s="114" t="s">
        <v>15</v>
      </c>
      <c r="E767" s="99" t="s">
        <v>42</v>
      </c>
      <c r="F767" s="653"/>
    </row>
    <row r="768" spans="1:6">
      <c r="A768" s="28"/>
      <c r="B768" s="66" t="s">
        <v>21</v>
      </c>
      <c r="C768" s="99">
        <v>3.9</v>
      </c>
      <c r="D768" s="114" t="s">
        <v>112</v>
      </c>
      <c r="E768" s="99" t="s">
        <v>18</v>
      </c>
      <c r="F768" s="653"/>
    </row>
    <row r="769" spans="1:6">
      <c r="A769" s="28"/>
      <c r="B769" s="66"/>
      <c r="C769" s="99"/>
      <c r="D769" s="114" t="s">
        <v>113</v>
      </c>
      <c r="E769" s="99" t="s">
        <v>68</v>
      </c>
      <c r="F769" s="653"/>
    </row>
    <row r="770" spans="1:6">
      <c r="A770" s="28"/>
      <c r="B770" s="66" t="s">
        <v>36</v>
      </c>
      <c r="C770" s="99">
        <v>30.2</v>
      </c>
      <c r="D770" s="114" t="s">
        <v>15</v>
      </c>
      <c r="E770" s="99" t="s">
        <v>42</v>
      </c>
      <c r="F770" s="653"/>
    </row>
    <row r="771" spans="1:6">
      <c r="A771" s="28"/>
      <c r="B771" s="66" t="s">
        <v>47</v>
      </c>
      <c r="C771" s="99">
        <v>16.2</v>
      </c>
      <c r="D771" s="114" t="s">
        <v>111</v>
      </c>
      <c r="E771" s="99" t="s">
        <v>18</v>
      </c>
      <c r="F771" s="653"/>
    </row>
    <row r="772" spans="1:6">
      <c r="A772" s="108" t="s">
        <v>37</v>
      </c>
      <c r="B772" s="286" t="s">
        <v>38</v>
      </c>
      <c r="C772" s="117">
        <f>SUM(C773:C780)</f>
        <v>437.79999999999995</v>
      </c>
      <c r="D772" s="619" t="s">
        <v>72</v>
      </c>
      <c r="E772" s="596" t="s">
        <v>9</v>
      </c>
      <c r="F772" s="652" t="s">
        <v>125</v>
      </c>
    </row>
    <row r="773" spans="1:6">
      <c r="A773" s="28"/>
      <c r="B773" s="66" t="s">
        <v>14</v>
      </c>
      <c r="C773" s="99">
        <v>55</v>
      </c>
      <c r="D773" s="114" t="s">
        <v>27</v>
      </c>
      <c r="E773" s="99" t="s">
        <v>18</v>
      </c>
      <c r="F773" s="653"/>
    </row>
    <row r="774" spans="1:6">
      <c r="A774" s="28"/>
      <c r="B774" s="66" t="s">
        <v>19</v>
      </c>
      <c r="C774" s="99">
        <v>11.4</v>
      </c>
      <c r="D774" s="114" t="s">
        <v>15</v>
      </c>
      <c r="E774" s="99" t="s">
        <v>18</v>
      </c>
      <c r="F774" s="653"/>
    </row>
    <row r="775" spans="1:6">
      <c r="A775" s="28"/>
      <c r="B775" s="66" t="s">
        <v>17</v>
      </c>
      <c r="C775" s="99">
        <v>87.8</v>
      </c>
      <c r="D775" s="114" t="s">
        <v>15</v>
      </c>
      <c r="E775" s="99" t="s">
        <v>18</v>
      </c>
      <c r="F775" s="653"/>
    </row>
    <row r="776" spans="1:6">
      <c r="A776" s="28"/>
      <c r="B776" s="66" t="s">
        <v>21</v>
      </c>
      <c r="C776" s="99">
        <v>10.199999999999999</v>
      </c>
      <c r="D776" s="114" t="s">
        <v>112</v>
      </c>
      <c r="E776" s="99" t="s">
        <v>18</v>
      </c>
      <c r="F776" s="653"/>
    </row>
    <row r="777" spans="1:6">
      <c r="A777" s="28"/>
      <c r="B777" s="66"/>
      <c r="C777" s="99"/>
      <c r="D777" s="114" t="s">
        <v>124</v>
      </c>
      <c r="E777" s="99" t="s">
        <v>68</v>
      </c>
      <c r="F777" s="653"/>
    </row>
    <row r="778" spans="1:6">
      <c r="A778" s="28"/>
      <c r="B778" s="66" t="s">
        <v>71</v>
      </c>
      <c r="C778" s="99">
        <v>82.6</v>
      </c>
      <c r="D778" s="114" t="s">
        <v>15</v>
      </c>
      <c r="E778" s="99" t="s">
        <v>18</v>
      </c>
      <c r="F778" s="653"/>
    </row>
    <row r="779" spans="1:6">
      <c r="A779" s="28"/>
      <c r="B779" s="66" t="s">
        <v>36</v>
      </c>
      <c r="C779" s="99">
        <v>158.4</v>
      </c>
      <c r="D779" s="114" t="s">
        <v>15</v>
      </c>
      <c r="E779" s="99" t="s">
        <v>42</v>
      </c>
      <c r="F779" s="653"/>
    </row>
    <row r="780" spans="1:6">
      <c r="A780" s="111"/>
      <c r="B780" s="82" t="s">
        <v>47</v>
      </c>
      <c r="C780" s="112">
        <v>32.4</v>
      </c>
      <c r="D780" s="105" t="s">
        <v>111</v>
      </c>
      <c r="E780" s="112" t="s">
        <v>18</v>
      </c>
      <c r="F780" s="654"/>
    </row>
    <row r="781" spans="1:6">
      <c r="A781" s="28"/>
      <c r="B781" s="67"/>
      <c r="C781" s="99"/>
      <c r="D781" s="455"/>
      <c r="E781" s="99"/>
      <c r="F781" s="548"/>
    </row>
    <row r="782" spans="1:6">
      <c r="A782" s="693" t="s">
        <v>126</v>
      </c>
      <c r="B782" s="694"/>
      <c r="C782" s="694"/>
      <c r="D782" s="694"/>
      <c r="E782" s="694"/>
      <c r="F782" s="695"/>
    </row>
    <row r="783" spans="1:6">
      <c r="A783" s="108">
        <v>5</v>
      </c>
      <c r="B783" s="285" t="s">
        <v>127</v>
      </c>
      <c r="C783" s="456">
        <f>SUM(C784+C788+C798)</f>
        <v>570.11</v>
      </c>
      <c r="D783" s="529"/>
      <c r="E783" s="110"/>
      <c r="F783" s="652" t="s">
        <v>128</v>
      </c>
    </row>
    <row r="784" spans="1:6">
      <c r="A784" s="28" t="s">
        <v>11</v>
      </c>
      <c r="B784" s="81" t="s">
        <v>12</v>
      </c>
      <c r="C784" s="107">
        <f>SUM(C785:C787)</f>
        <v>83.210000000000008</v>
      </c>
      <c r="D784" s="60" t="s">
        <v>72</v>
      </c>
      <c r="E784" s="589" t="s">
        <v>9</v>
      </c>
      <c r="F784" s="653"/>
    </row>
    <row r="785" spans="1:6">
      <c r="A785" s="28"/>
      <c r="B785" s="66" t="s">
        <v>114</v>
      </c>
      <c r="C785" s="99">
        <v>54.4</v>
      </c>
      <c r="D785" s="114" t="s">
        <v>15</v>
      </c>
      <c r="E785" s="99" t="s">
        <v>18</v>
      </c>
      <c r="F785" s="653"/>
    </row>
    <row r="786" spans="1:6">
      <c r="A786" s="28"/>
      <c r="B786" s="66" t="s">
        <v>71</v>
      </c>
      <c r="C786" s="99">
        <v>13.5</v>
      </c>
      <c r="D786" s="114" t="s">
        <v>15</v>
      </c>
      <c r="E786" s="99" t="s">
        <v>18</v>
      </c>
      <c r="F786" s="653"/>
    </row>
    <row r="787" spans="1:6">
      <c r="A787" s="28"/>
      <c r="B787" s="66" t="s">
        <v>47</v>
      </c>
      <c r="C787" s="99">
        <v>15.31</v>
      </c>
      <c r="D787" s="114" t="s">
        <v>111</v>
      </c>
      <c r="E787" s="99" t="s">
        <v>18</v>
      </c>
      <c r="F787" s="653"/>
    </row>
    <row r="788" spans="1:6">
      <c r="A788" s="28" t="s">
        <v>29</v>
      </c>
      <c r="B788" s="81" t="s">
        <v>30</v>
      </c>
      <c r="C788" s="107">
        <f>SUM(C789:C797)</f>
        <v>251.4</v>
      </c>
      <c r="D788" s="60" t="s">
        <v>72</v>
      </c>
      <c r="E788" s="589" t="s">
        <v>9</v>
      </c>
      <c r="F788" s="653"/>
    </row>
    <row r="789" spans="1:6">
      <c r="A789" s="28"/>
      <c r="B789" s="66" t="s">
        <v>17</v>
      </c>
      <c r="C789" s="99">
        <v>118.9</v>
      </c>
      <c r="D789" s="114" t="s">
        <v>15</v>
      </c>
      <c r="E789" s="99" t="s">
        <v>18</v>
      </c>
      <c r="F789" s="653"/>
    </row>
    <row r="790" spans="1:6">
      <c r="A790" s="28"/>
      <c r="B790" s="66" t="s">
        <v>21</v>
      </c>
      <c r="C790" s="99">
        <v>7.2</v>
      </c>
      <c r="D790" s="114" t="s">
        <v>112</v>
      </c>
      <c r="E790" s="99" t="s">
        <v>18</v>
      </c>
      <c r="F790" s="653"/>
    </row>
    <row r="791" spans="1:6">
      <c r="A791" s="28"/>
      <c r="B791" s="66"/>
      <c r="C791" s="99"/>
      <c r="D791" s="114" t="s">
        <v>113</v>
      </c>
      <c r="E791" s="99" t="s">
        <v>68</v>
      </c>
      <c r="F791" s="653"/>
    </row>
    <row r="792" spans="1:6">
      <c r="A792" s="28"/>
      <c r="B792" s="66" t="s">
        <v>71</v>
      </c>
      <c r="C792" s="99">
        <v>30.4</v>
      </c>
      <c r="D792" s="114" t="s">
        <v>15</v>
      </c>
      <c r="E792" s="99" t="s">
        <v>18</v>
      </c>
      <c r="F792" s="653"/>
    </row>
    <row r="793" spans="1:6">
      <c r="A793" s="28"/>
      <c r="B793" s="66" t="s">
        <v>19</v>
      </c>
      <c r="C793" s="99">
        <v>11.1</v>
      </c>
      <c r="D793" s="114" t="s">
        <v>15</v>
      </c>
      <c r="E793" s="99" t="s">
        <v>18</v>
      </c>
      <c r="F793" s="653"/>
    </row>
    <row r="794" spans="1:6">
      <c r="A794" s="28"/>
      <c r="B794" s="66" t="s">
        <v>75</v>
      </c>
      <c r="C794" s="99">
        <v>30.4</v>
      </c>
      <c r="D794" s="114" t="s">
        <v>15</v>
      </c>
      <c r="E794" s="99" t="s">
        <v>42</v>
      </c>
      <c r="F794" s="653"/>
    </row>
    <row r="795" spans="1:6">
      <c r="A795" s="28"/>
      <c r="B795" s="66" t="s">
        <v>45</v>
      </c>
      <c r="C795" s="99">
        <v>10.7</v>
      </c>
      <c r="D795" s="114" t="s">
        <v>15</v>
      </c>
      <c r="E795" s="99" t="s">
        <v>42</v>
      </c>
      <c r="F795" s="653"/>
    </row>
    <row r="796" spans="1:6">
      <c r="A796" s="28"/>
      <c r="B796" s="66" t="s">
        <v>14</v>
      </c>
      <c r="C796" s="99">
        <v>27.4</v>
      </c>
      <c r="D796" s="114" t="s">
        <v>27</v>
      </c>
      <c r="E796" s="99" t="s">
        <v>18</v>
      </c>
      <c r="F796" s="653"/>
    </row>
    <row r="797" spans="1:6">
      <c r="A797" s="28"/>
      <c r="B797" s="66" t="s">
        <v>47</v>
      </c>
      <c r="C797" s="99">
        <v>15.3</v>
      </c>
      <c r="D797" s="114" t="s">
        <v>111</v>
      </c>
      <c r="E797" s="99" t="s">
        <v>18</v>
      </c>
      <c r="F797" s="653"/>
    </row>
    <row r="798" spans="1:6">
      <c r="A798" s="108" t="s">
        <v>37</v>
      </c>
      <c r="B798" s="286" t="s">
        <v>38</v>
      </c>
      <c r="C798" s="117">
        <f>SUM(C799:C806)</f>
        <v>235.5</v>
      </c>
      <c r="D798" s="619" t="s">
        <v>72</v>
      </c>
      <c r="E798" s="596" t="s">
        <v>9</v>
      </c>
      <c r="F798" s="652" t="s">
        <v>129</v>
      </c>
    </row>
    <row r="799" spans="1:6">
      <c r="A799" s="28"/>
      <c r="B799" s="66" t="s">
        <v>130</v>
      </c>
      <c r="C799" s="99">
        <v>9.8000000000000007</v>
      </c>
      <c r="D799" s="114" t="s">
        <v>15</v>
      </c>
      <c r="E799" s="99" t="s">
        <v>18</v>
      </c>
      <c r="F799" s="653"/>
    </row>
    <row r="800" spans="1:6">
      <c r="A800" s="28"/>
      <c r="B800" s="66" t="s">
        <v>17</v>
      </c>
      <c r="C800" s="99">
        <v>32.299999999999997</v>
      </c>
      <c r="D800" s="114" t="s">
        <v>15</v>
      </c>
      <c r="E800" s="99" t="s">
        <v>18</v>
      </c>
      <c r="F800" s="653"/>
    </row>
    <row r="801" spans="1:6">
      <c r="A801" s="28"/>
      <c r="B801" s="66" t="s">
        <v>14</v>
      </c>
      <c r="C801" s="99">
        <v>50.4</v>
      </c>
      <c r="D801" s="114" t="s">
        <v>27</v>
      </c>
      <c r="E801" s="99" t="s">
        <v>18</v>
      </c>
      <c r="F801" s="653"/>
    </row>
    <row r="802" spans="1:6">
      <c r="A802" s="28"/>
      <c r="B802" s="66" t="s">
        <v>47</v>
      </c>
      <c r="C802" s="99">
        <v>15.3</v>
      </c>
      <c r="D802" s="114" t="s">
        <v>111</v>
      </c>
      <c r="E802" s="99" t="s">
        <v>18</v>
      </c>
      <c r="F802" s="653"/>
    </row>
    <row r="803" spans="1:6">
      <c r="A803" s="28"/>
      <c r="B803" s="66" t="s">
        <v>21</v>
      </c>
      <c r="C803" s="99">
        <v>9.8000000000000007</v>
      </c>
      <c r="D803" s="114" t="s">
        <v>112</v>
      </c>
      <c r="E803" s="99" t="s">
        <v>18</v>
      </c>
      <c r="F803" s="653"/>
    </row>
    <row r="804" spans="1:6">
      <c r="A804" s="28"/>
      <c r="B804" s="66"/>
      <c r="C804" s="99"/>
      <c r="D804" s="114" t="s">
        <v>113</v>
      </c>
      <c r="E804" s="99" t="s">
        <v>68</v>
      </c>
      <c r="F804" s="653"/>
    </row>
    <row r="805" spans="1:6">
      <c r="A805" s="28"/>
      <c r="B805" s="66" t="s">
        <v>19</v>
      </c>
      <c r="C805" s="99">
        <v>14.9</v>
      </c>
      <c r="D805" s="114" t="s">
        <v>20</v>
      </c>
      <c r="E805" s="99" t="s">
        <v>18</v>
      </c>
      <c r="F805" s="653"/>
    </row>
    <row r="806" spans="1:6">
      <c r="A806" s="111"/>
      <c r="B806" s="82" t="s">
        <v>71</v>
      </c>
      <c r="C806" s="112">
        <v>103</v>
      </c>
      <c r="D806" s="105" t="s">
        <v>20</v>
      </c>
      <c r="E806" s="112" t="s">
        <v>18</v>
      </c>
      <c r="F806" s="654"/>
    </row>
    <row r="807" spans="1:6">
      <c r="A807" s="693" t="s">
        <v>131</v>
      </c>
      <c r="B807" s="694"/>
      <c r="C807" s="694"/>
      <c r="D807" s="694"/>
      <c r="E807" s="694"/>
      <c r="F807" s="695"/>
    </row>
    <row r="808" spans="1:6">
      <c r="A808" s="108">
        <v>6</v>
      </c>
      <c r="B808" s="285" t="s">
        <v>132</v>
      </c>
      <c r="C808" s="456">
        <f>C809+C814+C822</f>
        <v>769.1</v>
      </c>
      <c r="D808" s="529"/>
      <c r="E808" s="110"/>
      <c r="F808" s="652" t="s">
        <v>133</v>
      </c>
    </row>
    <row r="809" spans="1:6">
      <c r="A809" s="28" t="s">
        <v>11</v>
      </c>
      <c r="B809" s="81" t="s">
        <v>12</v>
      </c>
      <c r="C809" s="107">
        <f>SUM(C810:C813)</f>
        <v>130.1</v>
      </c>
      <c r="D809" s="60" t="s">
        <v>72</v>
      </c>
      <c r="E809" s="589" t="s">
        <v>9</v>
      </c>
      <c r="F809" s="653"/>
    </row>
    <row r="810" spans="1:6">
      <c r="A810" s="28"/>
      <c r="B810" s="66" t="s">
        <v>114</v>
      </c>
      <c r="C810" s="99">
        <v>35.9</v>
      </c>
      <c r="D810" s="114" t="s">
        <v>15</v>
      </c>
      <c r="E810" s="99" t="s">
        <v>18</v>
      </c>
      <c r="F810" s="653"/>
    </row>
    <row r="811" spans="1:6">
      <c r="A811" s="28"/>
      <c r="B811" s="66" t="s">
        <v>71</v>
      </c>
      <c r="C811" s="99">
        <v>30.2</v>
      </c>
      <c r="D811" s="114" t="s">
        <v>15</v>
      </c>
      <c r="E811" s="99" t="s">
        <v>18</v>
      </c>
      <c r="F811" s="653"/>
    </row>
    <row r="812" spans="1:6">
      <c r="A812" s="28"/>
      <c r="B812" s="66" t="s">
        <v>14</v>
      </c>
      <c r="C812" s="99">
        <v>13.5</v>
      </c>
      <c r="D812" s="114" t="s">
        <v>27</v>
      </c>
      <c r="E812" s="99" t="s">
        <v>18</v>
      </c>
      <c r="F812" s="653"/>
    </row>
    <row r="813" spans="1:6">
      <c r="A813" s="28"/>
      <c r="B813" s="66" t="s">
        <v>36</v>
      </c>
      <c r="C813" s="99">
        <v>50.5</v>
      </c>
      <c r="D813" s="114" t="s">
        <v>20</v>
      </c>
      <c r="E813" s="99" t="s">
        <v>18</v>
      </c>
      <c r="F813" s="653"/>
    </row>
    <row r="814" spans="1:6">
      <c r="A814" s="28" t="s">
        <v>29</v>
      </c>
      <c r="B814" s="81" t="s">
        <v>30</v>
      </c>
      <c r="C814" s="107">
        <f>SUM(C815:C821)</f>
        <v>177.60000000000002</v>
      </c>
      <c r="D814" s="60" t="s">
        <v>72</v>
      </c>
      <c r="E814" s="589" t="s">
        <v>9</v>
      </c>
      <c r="F814" s="653"/>
    </row>
    <row r="815" spans="1:6">
      <c r="A815" s="28"/>
      <c r="B815" s="66" t="s">
        <v>17</v>
      </c>
      <c r="C815" s="99">
        <v>87.4</v>
      </c>
      <c r="D815" s="114" t="s">
        <v>15</v>
      </c>
      <c r="E815" s="99" t="s">
        <v>18</v>
      </c>
      <c r="F815" s="653"/>
    </row>
    <row r="816" spans="1:6">
      <c r="A816" s="28"/>
      <c r="B816" s="66" t="s">
        <v>21</v>
      </c>
      <c r="C816" s="99">
        <v>2.5</v>
      </c>
      <c r="D816" s="114" t="s">
        <v>112</v>
      </c>
      <c r="E816" s="99" t="s">
        <v>18</v>
      </c>
      <c r="F816" s="653"/>
    </row>
    <row r="817" spans="1:6">
      <c r="A817" s="28"/>
      <c r="B817" s="66"/>
      <c r="C817" s="99"/>
      <c r="D817" s="114" t="s">
        <v>113</v>
      </c>
      <c r="E817" s="99" t="s">
        <v>68</v>
      </c>
      <c r="F817" s="653"/>
    </row>
    <row r="818" spans="1:6">
      <c r="A818" s="28"/>
      <c r="B818" s="66" t="s">
        <v>130</v>
      </c>
      <c r="C818" s="99">
        <v>13.7</v>
      </c>
      <c r="D818" s="114" t="s">
        <v>15</v>
      </c>
      <c r="E818" s="99" t="s">
        <v>18</v>
      </c>
      <c r="F818" s="653"/>
    </row>
    <row r="819" spans="1:6">
      <c r="A819" s="28"/>
      <c r="B819" s="66" t="s">
        <v>45</v>
      </c>
      <c r="C819" s="99">
        <v>26.1</v>
      </c>
      <c r="D819" s="114" t="s">
        <v>15</v>
      </c>
      <c r="E819" s="99" t="s">
        <v>42</v>
      </c>
      <c r="F819" s="653"/>
    </row>
    <row r="820" spans="1:6">
      <c r="A820" s="28"/>
      <c r="B820" s="66" t="s">
        <v>14</v>
      </c>
      <c r="C820" s="99">
        <v>31.8</v>
      </c>
      <c r="D820" s="114" t="s">
        <v>27</v>
      </c>
      <c r="E820" s="99" t="s">
        <v>18</v>
      </c>
      <c r="F820" s="653"/>
    </row>
    <row r="821" spans="1:6">
      <c r="A821" s="28"/>
      <c r="B821" s="66" t="s">
        <v>47</v>
      </c>
      <c r="C821" s="99">
        <v>16.100000000000001</v>
      </c>
      <c r="D821" s="114" t="s">
        <v>111</v>
      </c>
      <c r="E821" s="99" t="s">
        <v>18</v>
      </c>
      <c r="F821" s="653"/>
    </row>
    <row r="822" spans="1:6">
      <c r="A822" s="108" t="s">
        <v>37</v>
      </c>
      <c r="B822" s="286" t="s">
        <v>38</v>
      </c>
      <c r="C822" s="117">
        <f>SUM(C823:C831)</f>
        <v>461.4</v>
      </c>
      <c r="D822" s="619" t="s">
        <v>72</v>
      </c>
      <c r="E822" s="596" t="s">
        <v>9</v>
      </c>
      <c r="F822" s="652" t="s">
        <v>134</v>
      </c>
    </row>
    <row r="823" spans="1:6">
      <c r="A823" s="28"/>
      <c r="B823" s="66" t="s">
        <v>17</v>
      </c>
      <c r="C823" s="99">
        <v>161.19999999999999</v>
      </c>
      <c r="D823" s="114" t="s">
        <v>15</v>
      </c>
      <c r="E823" s="99" t="s">
        <v>18</v>
      </c>
      <c r="F823" s="653"/>
    </row>
    <row r="824" spans="1:6">
      <c r="A824" s="28"/>
      <c r="B824" s="66" t="s">
        <v>71</v>
      </c>
      <c r="C824" s="99">
        <v>135.69999999999999</v>
      </c>
      <c r="D824" s="114" t="s">
        <v>15</v>
      </c>
      <c r="E824" s="99" t="s">
        <v>18</v>
      </c>
      <c r="F824" s="653"/>
    </row>
    <row r="825" spans="1:6">
      <c r="A825" s="28"/>
      <c r="B825" s="66" t="s">
        <v>19</v>
      </c>
      <c r="C825" s="99">
        <v>10.7</v>
      </c>
      <c r="D825" s="114" t="s">
        <v>15</v>
      </c>
      <c r="E825" s="99" t="s">
        <v>18</v>
      </c>
      <c r="F825" s="653"/>
    </row>
    <row r="826" spans="1:6">
      <c r="A826" s="28"/>
      <c r="B826" s="66" t="s">
        <v>21</v>
      </c>
      <c r="C826" s="99">
        <v>9.6</v>
      </c>
      <c r="D826" s="114" t="s">
        <v>112</v>
      </c>
      <c r="E826" s="99" t="s">
        <v>18</v>
      </c>
      <c r="F826" s="653"/>
    </row>
    <row r="827" spans="1:6">
      <c r="A827" s="28"/>
      <c r="B827" s="66"/>
      <c r="C827" s="99"/>
      <c r="D827" s="114" t="s">
        <v>124</v>
      </c>
      <c r="E827" s="99" t="s">
        <v>68</v>
      </c>
      <c r="F827" s="653"/>
    </row>
    <row r="828" spans="1:6">
      <c r="A828" s="28"/>
      <c r="B828" s="66" t="s">
        <v>75</v>
      </c>
      <c r="C828" s="99">
        <v>63.9</v>
      </c>
      <c r="D828" s="114" t="s">
        <v>15</v>
      </c>
      <c r="E828" s="99" t="s">
        <v>42</v>
      </c>
      <c r="F828" s="653"/>
    </row>
    <row r="829" spans="1:6">
      <c r="A829" s="28"/>
      <c r="B829" s="66" t="s">
        <v>36</v>
      </c>
      <c r="C829" s="99">
        <v>3.5</v>
      </c>
      <c r="D829" s="114" t="s">
        <v>15</v>
      </c>
      <c r="E829" s="99" t="s">
        <v>42</v>
      </c>
      <c r="F829" s="653"/>
    </row>
    <row r="830" spans="1:6">
      <c r="A830" s="28"/>
      <c r="B830" s="66" t="s">
        <v>14</v>
      </c>
      <c r="C830" s="99">
        <v>60.7</v>
      </c>
      <c r="D830" s="114" t="s">
        <v>27</v>
      </c>
      <c r="E830" s="99" t="s">
        <v>18</v>
      </c>
      <c r="F830" s="653"/>
    </row>
    <row r="831" spans="1:6">
      <c r="A831" s="111"/>
      <c r="B831" s="82" t="s">
        <v>47</v>
      </c>
      <c r="C831" s="112">
        <v>16.100000000000001</v>
      </c>
      <c r="D831" s="105" t="s">
        <v>111</v>
      </c>
      <c r="E831" s="112" t="s">
        <v>18</v>
      </c>
      <c r="F831" s="654"/>
    </row>
    <row r="832" spans="1:6">
      <c r="A832" s="693" t="s">
        <v>135</v>
      </c>
      <c r="B832" s="694"/>
      <c r="C832" s="694"/>
      <c r="D832" s="694"/>
      <c r="E832" s="694"/>
      <c r="F832" s="695"/>
    </row>
    <row r="833" spans="1:6" ht="25.5">
      <c r="A833" s="108">
        <v>7</v>
      </c>
      <c r="B833" s="316" t="s">
        <v>136</v>
      </c>
      <c r="C833" s="456">
        <f>C834+C841+C849</f>
        <v>746</v>
      </c>
      <c r="D833" s="529"/>
      <c r="E833" s="110"/>
      <c r="F833" s="652" t="s">
        <v>138</v>
      </c>
    </row>
    <row r="834" spans="1:6">
      <c r="A834" s="28" t="s">
        <v>11</v>
      </c>
      <c r="B834" s="317" t="s">
        <v>12</v>
      </c>
      <c r="C834" s="107">
        <f>SUM(C835:C840)</f>
        <v>139.79999999999998</v>
      </c>
      <c r="D834" s="60" t="s">
        <v>72</v>
      </c>
      <c r="E834" s="589" t="s">
        <v>9</v>
      </c>
      <c r="F834" s="653"/>
    </row>
    <row r="835" spans="1:6">
      <c r="A835" s="28"/>
      <c r="B835" s="318" t="s">
        <v>14</v>
      </c>
      <c r="C835" s="99">
        <v>5.5</v>
      </c>
      <c r="D835" s="114" t="s">
        <v>27</v>
      </c>
      <c r="E835" s="99" t="s">
        <v>18</v>
      </c>
      <c r="F835" s="653"/>
    </row>
    <row r="836" spans="1:6">
      <c r="A836" s="28"/>
      <c r="B836" s="318" t="s">
        <v>114</v>
      </c>
      <c r="C836" s="99">
        <v>42</v>
      </c>
      <c r="D836" s="114" t="s">
        <v>15</v>
      </c>
      <c r="E836" s="99" t="s">
        <v>18</v>
      </c>
      <c r="F836" s="653"/>
    </row>
    <row r="837" spans="1:6">
      <c r="A837" s="28"/>
      <c r="B837" s="318" t="s">
        <v>71</v>
      </c>
      <c r="C837" s="99">
        <v>8.3000000000000007</v>
      </c>
      <c r="D837" s="114" t="s">
        <v>15</v>
      </c>
      <c r="E837" s="99" t="s">
        <v>18</v>
      </c>
      <c r="F837" s="653"/>
    </row>
    <row r="838" spans="1:6">
      <c r="A838" s="28"/>
      <c r="B838" s="318" t="s">
        <v>36</v>
      </c>
      <c r="C838" s="99">
        <v>64.3</v>
      </c>
      <c r="D838" s="114" t="s">
        <v>20</v>
      </c>
      <c r="E838" s="99" t="s">
        <v>42</v>
      </c>
      <c r="F838" s="653"/>
    </row>
    <row r="839" spans="1:6">
      <c r="A839" s="28"/>
      <c r="B839" s="318" t="s">
        <v>19</v>
      </c>
      <c r="C839" s="99">
        <v>14.1</v>
      </c>
      <c r="D839" s="114" t="s">
        <v>15</v>
      </c>
      <c r="E839" s="99" t="s">
        <v>18</v>
      </c>
      <c r="F839" s="653"/>
    </row>
    <row r="840" spans="1:6">
      <c r="A840" s="28"/>
      <c r="B840" s="318" t="s">
        <v>45</v>
      </c>
      <c r="C840" s="99">
        <v>5.6</v>
      </c>
      <c r="D840" s="114" t="s">
        <v>15</v>
      </c>
      <c r="E840" s="99" t="s">
        <v>42</v>
      </c>
      <c r="F840" s="653"/>
    </row>
    <row r="841" spans="1:6">
      <c r="A841" s="28" t="s">
        <v>29</v>
      </c>
      <c r="B841" s="319" t="s">
        <v>30</v>
      </c>
      <c r="C841" s="107">
        <f>SUM(C842:C848)</f>
        <v>261.3</v>
      </c>
      <c r="D841" s="60" t="s">
        <v>72</v>
      </c>
      <c r="E841" s="589" t="s">
        <v>9</v>
      </c>
      <c r="F841" s="653"/>
    </row>
    <row r="842" spans="1:6">
      <c r="A842" s="28"/>
      <c r="B842" s="318" t="s">
        <v>17</v>
      </c>
      <c r="C842" s="99">
        <v>124.6</v>
      </c>
      <c r="D842" s="114" t="s">
        <v>15</v>
      </c>
      <c r="E842" s="99" t="s">
        <v>18</v>
      </c>
      <c r="F842" s="653"/>
    </row>
    <row r="843" spans="1:6">
      <c r="A843" s="28"/>
      <c r="B843" s="318" t="s">
        <v>21</v>
      </c>
      <c r="C843" s="99">
        <v>18.899999999999999</v>
      </c>
      <c r="D843" s="114" t="s">
        <v>112</v>
      </c>
      <c r="E843" s="99" t="s">
        <v>18</v>
      </c>
      <c r="F843" s="653"/>
    </row>
    <row r="844" spans="1:6">
      <c r="A844" s="28"/>
      <c r="B844" s="318"/>
      <c r="C844" s="99"/>
      <c r="D844" s="114" t="s">
        <v>124</v>
      </c>
      <c r="E844" s="99" t="s">
        <v>68</v>
      </c>
      <c r="F844" s="653"/>
    </row>
    <row r="845" spans="1:6">
      <c r="A845" s="28"/>
      <c r="B845" s="318" t="s">
        <v>75</v>
      </c>
      <c r="C845" s="99">
        <v>41.5</v>
      </c>
      <c r="D845" s="114" t="s">
        <v>15</v>
      </c>
      <c r="E845" s="99" t="s">
        <v>42</v>
      </c>
      <c r="F845" s="653"/>
    </row>
    <row r="846" spans="1:6">
      <c r="A846" s="28"/>
      <c r="B846" s="318" t="s">
        <v>45</v>
      </c>
      <c r="C846" s="99"/>
      <c r="D846" s="114" t="s">
        <v>15</v>
      </c>
      <c r="E846" s="99" t="s">
        <v>42</v>
      </c>
      <c r="F846" s="653"/>
    </row>
    <row r="847" spans="1:6">
      <c r="A847" s="28"/>
      <c r="B847" s="318" t="s">
        <v>14</v>
      </c>
      <c r="C847" s="99">
        <v>45.7</v>
      </c>
      <c r="D847" s="114" t="s">
        <v>27</v>
      </c>
      <c r="E847" s="99" t="s">
        <v>18</v>
      </c>
      <c r="F847" s="653"/>
    </row>
    <row r="848" spans="1:6">
      <c r="A848" s="28"/>
      <c r="B848" s="318" t="s">
        <v>47</v>
      </c>
      <c r="C848" s="99">
        <v>30.6</v>
      </c>
      <c r="D848" s="114" t="s">
        <v>20</v>
      </c>
      <c r="E848" s="99" t="s">
        <v>18</v>
      </c>
      <c r="F848" s="653"/>
    </row>
    <row r="849" spans="1:6">
      <c r="A849" s="108" t="s">
        <v>37</v>
      </c>
      <c r="B849" s="321" t="s">
        <v>38</v>
      </c>
      <c r="C849" s="117">
        <f>SUM(C850:C859)</f>
        <v>344.9</v>
      </c>
      <c r="D849" s="619" t="s">
        <v>72</v>
      </c>
      <c r="E849" s="596" t="s">
        <v>9</v>
      </c>
      <c r="F849" s="652" t="s">
        <v>137</v>
      </c>
    </row>
    <row r="850" spans="1:6">
      <c r="A850" s="28"/>
      <c r="B850" s="318" t="s">
        <v>14</v>
      </c>
      <c r="C850" s="99">
        <v>57.2</v>
      </c>
      <c r="D850" s="114" t="s">
        <v>27</v>
      </c>
      <c r="E850" s="606" t="s">
        <v>18</v>
      </c>
      <c r="F850" s="653"/>
    </row>
    <row r="851" spans="1:6">
      <c r="A851" s="28"/>
      <c r="B851" s="318" t="s">
        <v>17</v>
      </c>
      <c r="C851" s="99">
        <v>29.4</v>
      </c>
      <c r="D851" s="114" t="s">
        <v>15</v>
      </c>
      <c r="E851" s="606" t="s">
        <v>18</v>
      </c>
      <c r="F851" s="653"/>
    </row>
    <row r="852" spans="1:6">
      <c r="A852" s="28"/>
      <c r="B852" s="318" t="s">
        <v>40</v>
      </c>
      <c r="C852" s="99">
        <v>21.5</v>
      </c>
      <c r="D852" s="114" t="s">
        <v>20</v>
      </c>
      <c r="E852" s="606" t="s">
        <v>9</v>
      </c>
      <c r="F852" s="653"/>
    </row>
    <row r="853" spans="1:6">
      <c r="A853" s="28"/>
      <c r="B853" s="318" t="s">
        <v>45</v>
      </c>
      <c r="C853" s="99">
        <v>33.299999999999997</v>
      </c>
      <c r="D853" s="114" t="s">
        <v>20</v>
      </c>
      <c r="E853" s="606" t="s">
        <v>42</v>
      </c>
      <c r="F853" s="653"/>
    </row>
    <row r="854" spans="1:6">
      <c r="A854" s="28"/>
      <c r="B854" s="318" t="s">
        <v>47</v>
      </c>
      <c r="C854" s="99">
        <v>30.2</v>
      </c>
      <c r="D854" s="114" t="s">
        <v>20</v>
      </c>
      <c r="E854" s="606" t="s">
        <v>18</v>
      </c>
      <c r="F854" s="653"/>
    </row>
    <row r="855" spans="1:6">
      <c r="A855" s="28"/>
      <c r="B855" s="318" t="s">
        <v>130</v>
      </c>
      <c r="C855" s="99">
        <v>21.6</v>
      </c>
      <c r="D855" s="114" t="s">
        <v>15</v>
      </c>
      <c r="E855" s="606" t="s">
        <v>18</v>
      </c>
      <c r="F855" s="653"/>
    </row>
    <row r="856" spans="1:6">
      <c r="A856" s="28"/>
      <c r="B856" s="318" t="s">
        <v>19</v>
      </c>
      <c r="C856" s="99">
        <v>10.8</v>
      </c>
      <c r="D856" s="114" t="s">
        <v>15</v>
      </c>
      <c r="E856" s="606" t="s">
        <v>18</v>
      </c>
      <c r="F856" s="653"/>
    </row>
    <row r="857" spans="1:6">
      <c r="A857" s="28"/>
      <c r="B857" s="318" t="s">
        <v>21</v>
      </c>
      <c r="C857" s="99">
        <v>18.7</v>
      </c>
      <c r="D857" s="114" t="s">
        <v>112</v>
      </c>
      <c r="E857" s="606" t="s">
        <v>18</v>
      </c>
      <c r="F857" s="653"/>
    </row>
    <row r="858" spans="1:6">
      <c r="A858" s="28"/>
      <c r="B858" s="318"/>
      <c r="C858" s="99"/>
      <c r="D858" s="114" t="s">
        <v>113</v>
      </c>
      <c r="E858" s="606" t="s">
        <v>68</v>
      </c>
      <c r="F858" s="653"/>
    </row>
    <row r="859" spans="1:6">
      <c r="A859" s="111"/>
      <c r="B859" s="320" t="s">
        <v>71</v>
      </c>
      <c r="C859" s="112">
        <v>122.2</v>
      </c>
      <c r="D859" s="105" t="s">
        <v>15</v>
      </c>
      <c r="E859" s="608" t="s">
        <v>18</v>
      </c>
      <c r="F859" s="654"/>
    </row>
    <row r="860" spans="1:6" ht="15.75">
      <c r="A860" s="458"/>
      <c r="B860" s="459" t="s">
        <v>663</v>
      </c>
      <c r="C860" s="460">
        <f>C702+C730+C738+C754+C783+C808+C833</f>
        <v>4325.99</v>
      </c>
      <c r="D860" s="704"/>
      <c r="E860" s="704"/>
      <c r="F860" s="534"/>
    </row>
    <row r="861" spans="1:6" ht="15.75">
      <c r="A861" s="705" t="s">
        <v>139</v>
      </c>
      <c r="B861" s="705"/>
      <c r="C861" s="705"/>
      <c r="D861" s="705"/>
      <c r="E861" s="705"/>
      <c r="F861" s="705"/>
    </row>
    <row r="862" spans="1:6">
      <c r="A862" s="639" t="s">
        <v>140</v>
      </c>
      <c r="B862" s="640"/>
      <c r="C862" s="640"/>
      <c r="D862" s="640"/>
      <c r="E862" s="640"/>
      <c r="F862" s="641"/>
    </row>
    <row r="863" spans="1:6">
      <c r="A863" s="9">
        <v>1</v>
      </c>
      <c r="B863" s="277" t="s">
        <v>141</v>
      </c>
      <c r="C863" s="44">
        <f>SUM(C864+C877)</f>
        <v>926.1</v>
      </c>
      <c r="D863" s="542"/>
      <c r="E863" s="602"/>
      <c r="F863" s="638" t="s">
        <v>142</v>
      </c>
    </row>
    <row r="864" spans="1:6">
      <c r="A864" s="545" t="s">
        <v>11</v>
      </c>
      <c r="B864" s="278" t="s">
        <v>12</v>
      </c>
      <c r="C864" s="11">
        <f>SUM(C865:C876)</f>
        <v>449.3</v>
      </c>
      <c r="D864" s="60" t="s">
        <v>72</v>
      </c>
      <c r="E864" s="589" t="s">
        <v>9</v>
      </c>
      <c r="F864" s="633"/>
    </row>
    <row r="865" spans="1:6">
      <c r="A865" s="545"/>
      <c r="B865" s="266" t="s">
        <v>143</v>
      </c>
      <c r="C865" s="538">
        <f>59.6+7.7</f>
        <v>67.3</v>
      </c>
      <c r="D865" s="15" t="s">
        <v>15</v>
      </c>
      <c r="E865" s="603" t="s">
        <v>16</v>
      </c>
      <c r="F865" s="633"/>
    </row>
    <row r="866" spans="1:6">
      <c r="A866" s="545"/>
      <c r="B866" s="266" t="s">
        <v>17</v>
      </c>
      <c r="C866" s="538">
        <v>86.8</v>
      </c>
      <c r="D866" s="15" t="s">
        <v>15</v>
      </c>
      <c r="E866" s="603" t="s">
        <v>18</v>
      </c>
      <c r="F866" s="633"/>
    </row>
    <row r="867" spans="1:6">
      <c r="A867" s="545"/>
      <c r="B867" s="266" t="s">
        <v>144</v>
      </c>
      <c r="C867" s="538">
        <v>5.5</v>
      </c>
      <c r="D867" s="15" t="s">
        <v>15</v>
      </c>
      <c r="E867" s="603" t="s">
        <v>18</v>
      </c>
      <c r="F867" s="633"/>
    </row>
    <row r="868" spans="1:6">
      <c r="A868" s="545"/>
      <c r="B868" s="266" t="s">
        <v>130</v>
      </c>
      <c r="C868" s="538">
        <v>11</v>
      </c>
      <c r="D868" s="15" t="s">
        <v>15</v>
      </c>
      <c r="E868" s="603" t="s">
        <v>18</v>
      </c>
      <c r="F868" s="633"/>
    </row>
    <row r="869" spans="1:6">
      <c r="A869" s="545"/>
      <c r="B869" s="266" t="s">
        <v>14</v>
      </c>
      <c r="C869" s="538">
        <f>147.8-59.6-7.7</f>
        <v>80.500000000000014</v>
      </c>
      <c r="D869" s="15" t="s">
        <v>15</v>
      </c>
      <c r="E869" s="603" t="s">
        <v>18</v>
      </c>
      <c r="F869" s="633"/>
    </row>
    <row r="870" spans="1:6">
      <c r="A870" s="545"/>
      <c r="B870" s="266" t="s">
        <v>21</v>
      </c>
      <c r="C870" s="538">
        <f>2.7+3.4</f>
        <v>6.1</v>
      </c>
      <c r="D870" s="15" t="s">
        <v>145</v>
      </c>
      <c r="E870" s="603" t="s">
        <v>18</v>
      </c>
      <c r="F870" s="633"/>
    </row>
    <row r="871" spans="1:6">
      <c r="A871" s="545"/>
      <c r="B871" s="266"/>
      <c r="C871" s="538"/>
      <c r="D871" s="15" t="s">
        <v>67</v>
      </c>
      <c r="E871" s="603" t="s">
        <v>68</v>
      </c>
      <c r="F871" s="633"/>
    </row>
    <row r="872" spans="1:6">
      <c r="A872" s="545"/>
      <c r="B872" s="266" t="s">
        <v>39</v>
      </c>
      <c r="C872" s="538">
        <v>3.2</v>
      </c>
      <c r="D872" s="15" t="s">
        <v>27</v>
      </c>
      <c r="E872" s="603" t="s">
        <v>42</v>
      </c>
      <c r="F872" s="633"/>
    </row>
    <row r="873" spans="1:6">
      <c r="A873" s="545"/>
      <c r="B873" s="266" t="s">
        <v>146</v>
      </c>
      <c r="C873" s="538">
        <v>15.7</v>
      </c>
      <c r="D873" s="15" t="s">
        <v>27</v>
      </c>
      <c r="E873" s="603" t="s">
        <v>42</v>
      </c>
      <c r="F873" s="633"/>
    </row>
    <row r="874" spans="1:6">
      <c r="A874" s="545"/>
      <c r="B874" s="266" t="s">
        <v>147</v>
      </c>
      <c r="C874" s="538">
        <f>6+9.6</f>
        <v>15.6</v>
      </c>
      <c r="D874" s="15" t="s">
        <v>148</v>
      </c>
      <c r="E874" s="603" t="s">
        <v>42</v>
      </c>
      <c r="F874" s="633"/>
    </row>
    <row r="875" spans="1:6">
      <c r="A875" s="545"/>
      <c r="B875" s="266" t="s">
        <v>149</v>
      </c>
      <c r="C875" s="538">
        <v>116.7</v>
      </c>
      <c r="D875" s="15" t="s">
        <v>32</v>
      </c>
      <c r="E875" s="603" t="s">
        <v>150</v>
      </c>
      <c r="F875" s="633"/>
    </row>
    <row r="876" spans="1:6">
      <c r="A876" s="545"/>
      <c r="B876" s="266" t="s">
        <v>151</v>
      </c>
      <c r="C876" s="538">
        <v>40.9</v>
      </c>
      <c r="D876" s="15" t="s">
        <v>27</v>
      </c>
      <c r="E876" s="603" t="s">
        <v>28</v>
      </c>
      <c r="F876" s="637"/>
    </row>
    <row r="877" spans="1:6">
      <c r="A877" s="9" t="s">
        <v>29</v>
      </c>
      <c r="B877" s="280" t="s">
        <v>30</v>
      </c>
      <c r="C877" s="44">
        <f>SUM(C878:C890)</f>
        <v>476.8</v>
      </c>
      <c r="D877" s="619" t="s">
        <v>72</v>
      </c>
      <c r="E877" s="596" t="s">
        <v>9</v>
      </c>
      <c r="F877" s="634" t="s">
        <v>152</v>
      </c>
    </row>
    <row r="878" spans="1:6">
      <c r="A878" s="545"/>
      <c r="B878" s="266" t="s">
        <v>17</v>
      </c>
      <c r="C878" s="538">
        <v>129</v>
      </c>
      <c r="D878" s="599" t="s">
        <v>15</v>
      </c>
      <c r="E878" s="32" t="s">
        <v>18</v>
      </c>
      <c r="F878" s="635"/>
    </row>
    <row r="879" spans="1:6">
      <c r="A879" s="545"/>
      <c r="B879" s="266" t="s">
        <v>36</v>
      </c>
      <c r="C879" s="538">
        <v>153.4</v>
      </c>
      <c r="D879" s="599" t="s">
        <v>15</v>
      </c>
      <c r="E879" s="32" t="s">
        <v>18</v>
      </c>
      <c r="F879" s="635"/>
    </row>
    <row r="880" spans="1:6">
      <c r="A880" s="545"/>
      <c r="B880" s="266" t="s">
        <v>14</v>
      </c>
      <c r="C880" s="538">
        <v>47.5</v>
      </c>
      <c r="D880" s="599" t="s">
        <v>27</v>
      </c>
      <c r="E880" s="32" t="s">
        <v>18</v>
      </c>
      <c r="F880" s="635"/>
    </row>
    <row r="881" spans="1:6">
      <c r="A881" s="545"/>
      <c r="B881" s="266" t="s">
        <v>47</v>
      </c>
      <c r="C881" s="538">
        <v>14.6</v>
      </c>
      <c r="D881" s="599" t="s">
        <v>20</v>
      </c>
      <c r="E881" s="32" t="s">
        <v>18</v>
      </c>
      <c r="F881" s="635"/>
    </row>
    <row r="882" spans="1:6">
      <c r="A882" s="545"/>
      <c r="B882" s="266" t="s">
        <v>130</v>
      </c>
      <c r="C882" s="538">
        <f>7.7+18.1</f>
        <v>25.8</v>
      </c>
      <c r="D882" s="599" t="s">
        <v>15</v>
      </c>
      <c r="E882" s="32" t="s">
        <v>18</v>
      </c>
      <c r="F882" s="635"/>
    </row>
    <row r="883" spans="1:6">
      <c r="A883" s="545"/>
      <c r="B883" s="266" t="s">
        <v>19</v>
      </c>
      <c r="C883" s="538">
        <v>15.6</v>
      </c>
      <c r="D883" s="599" t="s">
        <v>15</v>
      </c>
      <c r="E883" s="32" t="s">
        <v>18</v>
      </c>
      <c r="F883" s="635"/>
    </row>
    <row r="884" spans="1:6">
      <c r="A884" s="545"/>
      <c r="B884" s="266" t="s">
        <v>21</v>
      </c>
      <c r="C884" s="538">
        <v>2.2999999999999998</v>
      </c>
      <c r="D884" s="599" t="s">
        <v>145</v>
      </c>
      <c r="E884" s="32" t="s">
        <v>18</v>
      </c>
      <c r="F884" s="635"/>
    </row>
    <row r="885" spans="1:6">
      <c r="A885" s="545"/>
      <c r="B885" s="266"/>
      <c r="C885" s="538"/>
      <c r="D885" s="599" t="s">
        <v>67</v>
      </c>
      <c r="E885" s="32" t="s">
        <v>68</v>
      </c>
      <c r="F885" s="635"/>
    </row>
    <row r="886" spans="1:6">
      <c r="A886" s="545"/>
      <c r="B886" s="266" t="s">
        <v>36</v>
      </c>
      <c r="C886" s="538">
        <v>9.9</v>
      </c>
      <c r="D886" s="599" t="s">
        <v>15</v>
      </c>
      <c r="E886" s="32" t="s">
        <v>42</v>
      </c>
      <c r="F886" s="635"/>
    </row>
    <row r="887" spans="1:6">
      <c r="A887" s="545"/>
      <c r="B887" s="266" t="s">
        <v>41</v>
      </c>
      <c r="C887" s="538">
        <v>47.6</v>
      </c>
      <c r="D887" s="599" t="s">
        <v>15</v>
      </c>
      <c r="E887" s="32" t="s">
        <v>42</v>
      </c>
      <c r="F887" s="635"/>
    </row>
    <row r="888" spans="1:6">
      <c r="A888" s="545"/>
      <c r="B888" s="266" t="s">
        <v>36</v>
      </c>
      <c r="C888" s="538">
        <v>23.8</v>
      </c>
      <c r="D888" s="599" t="s">
        <v>148</v>
      </c>
      <c r="E888" s="32" t="s">
        <v>28</v>
      </c>
      <c r="F888" s="635"/>
    </row>
    <row r="889" spans="1:6">
      <c r="A889" s="545"/>
      <c r="B889" s="266" t="s">
        <v>153</v>
      </c>
      <c r="C889" s="538">
        <v>3.9</v>
      </c>
      <c r="D889" s="599" t="s">
        <v>27</v>
      </c>
      <c r="E889" s="32" t="s">
        <v>28</v>
      </c>
      <c r="F889" s="635"/>
    </row>
    <row r="890" spans="1:6">
      <c r="A890" s="13"/>
      <c r="B890" s="279" t="s">
        <v>39</v>
      </c>
      <c r="C890" s="547">
        <v>3.4</v>
      </c>
      <c r="D890" s="42" t="s">
        <v>27</v>
      </c>
      <c r="E890" s="91" t="s">
        <v>28</v>
      </c>
      <c r="F890" s="636"/>
    </row>
    <row r="891" spans="1:6">
      <c r="A891" s="639" t="s">
        <v>154</v>
      </c>
      <c r="B891" s="640"/>
      <c r="C891" s="640"/>
      <c r="D891" s="650"/>
      <c r="E891" s="650"/>
      <c r="F891" s="651"/>
    </row>
    <row r="892" spans="1:6">
      <c r="A892" s="46">
        <v>2</v>
      </c>
      <c r="B892" s="277" t="s">
        <v>155</v>
      </c>
      <c r="C892" s="23">
        <f>C893+C911+C901</f>
        <v>949.30000000000007</v>
      </c>
      <c r="D892" s="7"/>
      <c r="E892" s="602"/>
      <c r="F892" s="634" t="s">
        <v>156</v>
      </c>
    </row>
    <row r="893" spans="1:6">
      <c r="A893" s="47"/>
      <c r="B893" s="278" t="s">
        <v>157</v>
      </c>
      <c r="C893" s="33">
        <f>SUM(C894:C900)</f>
        <v>126.9</v>
      </c>
      <c r="D893" s="60" t="s">
        <v>72</v>
      </c>
      <c r="E893" s="589" t="s">
        <v>9</v>
      </c>
      <c r="F893" s="635"/>
    </row>
    <row r="894" spans="1:6">
      <c r="A894" s="47" t="s">
        <v>11</v>
      </c>
      <c r="B894" s="266" t="s">
        <v>143</v>
      </c>
      <c r="C894" s="34">
        <f>26.4+33.1+1.9</f>
        <v>61.4</v>
      </c>
      <c r="D894" s="27" t="s">
        <v>15</v>
      </c>
      <c r="E894" s="603" t="s">
        <v>16</v>
      </c>
      <c r="F894" s="635"/>
    </row>
    <row r="895" spans="1:6">
      <c r="A895" s="47"/>
      <c r="B895" s="266" t="s">
        <v>144</v>
      </c>
      <c r="C895" s="34">
        <v>12.5</v>
      </c>
      <c r="D895" s="27" t="s">
        <v>15</v>
      </c>
      <c r="E895" s="603" t="s">
        <v>18</v>
      </c>
      <c r="F895" s="635"/>
    </row>
    <row r="896" spans="1:6">
      <c r="A896" s="47"/>
      <c r="B896" s="266" t="s">
        <v>17</v>
      </c>
      <c r="C896" s="34">
        <f>38.5-26.4</f>
        <v>12.100000000000001</v>
      </c>
      <c r="D896" s="27" t="s">
        <v>15</v>
      </c>
      <c r="E896" s="603" t="s">
        <v>18</v>
      </c>
      <c r="F896" s="635"/>
    </row>
    <row r="897" spans="1:6">
      <c r="A897" s="47"/>
      <c r="B897" s="266" t="s">
        <v>21</v>
      </c>
      <c r="C897" s="34">
        <v>1.5</v>
      </c>
      <c r="D897" s="27" t="s">
        <v>22</v>
      </c>
      <c r="E897" s="603" t="s">
        <v>18</v>
      </c>
      <c r="F897" s="635"/>
    </row>
    <row r="898" spans="1:6">
      <c r="A898" s="47"/>
      <c r="B898" s="266"/>
      <c r="C898" s="34"/>
      <c r="D898" s="27" t="s">
        <v>67</v>
      </c>
      <c r="E898" s="603" t="s">
        <v>68</v>
      </c>
      <c r="F898" s="635"/>
    </row>
    <row r="899" spans="1:6">
      <c r="A899" s="47"/>
      <c r="B899" s="266" t="s">
        <v>130</v>
      </c>
      <c r="C899" s="34">
        <v>5.8</v>
      </c>
      <c r="D899" s="27" t="s">
        <v>15</v>
      </c>
      <c r="E899" s="603" t="s">
        <v>18</v>
      </c>
      <c r="F899" s="635"/>
    </row>
    <row r="900" spans="1:6">
      <c r="A900" s="47"/>
      <c r="B900" s="266" t="s">
        <v>149</v>
      </c>
      <c r="C900" s="34">
        <v>33.6</v>
      </c>
      <c r="D900" s="27" t="s">
        <v>32</v>
      </c>
      <c r="E900" s="603" t="s">
        <v>42</v>
      </c>
      <c r="F900" s="635"/>
    </row>
    <row r="901" spans="1:6">
      <c r="A901" s="47"/>
      <c r="B901" s="278" t="s">
        <v>79</v>
      </c>
      <c r="C901" s="35">
        <f>SUM(C902:C910)</f>
        <v>668.6</v>
      </c>
      <c r="D901" s="27" t="s">
        <v>13</v>
      </c>
      <c r="E901" s="603" t="s">
        <v>9</v>
      </c>
      <c r="F901" s="635"/>
    </row>
    <row r="902" spans="1:6">
      <c r="A902" s="47" t="s">
        <v>29</v>
      </c>
      <c r="B902" s="266" t="s">
        <v>35</v>
      </c>
      <c r="C902" s="34">
        <v>26.8</v>
      </c>
      <c r="D902" s="27" t="s">
        <v>20</v>
      </c>
      <c r="E902" s="603" t="s">
        <v>18</v>
      </c>
      <c r="F902" s="635"/>
    </row>
    <row r="903" spans="1:6">
      <c r="A903" s="47"/>
      <c r="B903" s="266" t="s">
        <v>17</v>
      </c>
      <c r="C903" s="34">
        <f>219.8</f>
        <v>219.8</v>
      </c>
      <c r="D903" s="27" t="s">
        <v>15</v>
      </c>
      <c r="E903" s="603" t="s">
        <v>18</v>
      </c>
      <c r="F903" s="635"/>
    </row>
    <row r="904" spans="1:6">
      <c r="A904" s="47"/>
      <c r="B904" s="266" t="s">
        <v>130</v>
      </c>
      <c r="C904" s="34">
        <v>21.7</v>
      </c>
      <c r="D904" s="27" t="s">
        <v>15</v>
      </c>
      <c r="E904" s="603" t="s">
        <v>18</v>
      </c>
      <c r="F904" s="635"/>
    </row>
    <row r="905" spans="1:6">
      <c r="A905" s="47"/>
      <c r="B905" s="266" t="s">
        <v>21</v>
      </c>
      <c r="C905" s="34">
        <v>10.8</v>
      </c>
      <c r="D905" s="27" t="s">
        <v>22</v>
      </c>
      <c r="E905" s="603" t="s">
        <v>18</v>
      </c>
      <c r="F905" s="635"/>
    </row>
    <row r="906" spans="1:6">
      <c r="A906" s="47"/>
      <c r="B906" s="266"/>
      <c r="C906" s="34"/>
      <c r="D906" s="27" t="s">
        <v>67</v>
      </c>
      <c r="E906" s="603" t="s">
        <v>68</v>
      </c>
      <c r="F906" s="635"/>
    </row>
    <row r="907" spans="1:6">
      <c r="A907" s="47"/>
      <c r="B907" s="266" t="s">
        <v>36</v>
      </c>
      <c r="C907" s="34">
        <f>236.8+8.5</f>
        <v>245.3</v>
      </c>
      <c r="D907" s="27" t="s">
        <v>15</v>
      </c>
      <c r="E907" s="603" t="s">
        <v>18</v>
      </c>
      <c r="F907" s="635"/>
    </row>
    <row r="908" spans="1:6">
      <c r="A908" s="47"/>
      <c r="B908" s="266" t="s">
        <v>39</v>
      </c>
      <c r="C908" s="34">
        <v>86.3</v>
      </c>
      <c r="D908" s="27" t="s">
        <v>27</v>
      </c>
      <c r="E908" s="603" t="s">
        <v>18</v>
      </c>
      <c r="F908" s="635"/>
    </row>
    <row r="909" spans="1:6">
      <c r="A909" s="47"/>
      <c r="B909" s="266" t="s">
        <v>153</v>
      </c>
      <c r="C909" s="34">
        <v>5.3</v>
      </c>
      <c r="D909" s="27" t="s">
        <v>27</v>
      </c>
      <c r="E909" s="603" t="s">
        <v>42</v>
      </c>
      <c r="F909" s="635"/>
    </row>
    <row r="910" spans="1:6">
      <c r="A910" s="47"/>
      <c r="B910" s="266" t="s">
        <v>73</v>
      </c>
      <c r="C910" s="34">
        <v>52.6</v>
      </c>
      <c r="D910" s="27" t="s">
        <v>27</v>
      </c>
      <c r="E910" s="603" t="s">
        <v>42</v>
      </c>
      <c r="F910" s="635"/>
    </row>
    <row r="911" spans="1:6">
      <c r="A911" s="47"/>
      <c r="B911" s="278" t="s">
        <v>38</v>
      </c>
      <c r="C911" s="33">
        <f>SUM(C912:C917)</f>
        <v>153.80000000000001</v>
      </c>
      <c r="D911" s="60" t="s">
        <v>72</v>
      </c>
      <c r="E911" s="589" t="s">
        <v>9</v>
      </c>
      <c r="F911" s="635"/>
    </row>
    <row r="912" spans="1:6">
      <c r="A912" s="47" t="s">
        <v>37</v>
      </c>
      <c r="B912" s="266" t="s">
        <v>35</v>
      </c>
      <c r="C912" s="34">
        <v>26.4</v>
      </c>
      <c r="D912" s="27" t="s">
        <v>20</v>
      </c>
      <c r="E912" s="603" t="s">
        <v>42</v>
      </c>
      <c r="F912" s="635"/>
    </row>
    <row r="913" spans="1:6">
      <c r="A913" s="47"/>
      <c r="B913" s="266" t="s">
        <v>39</v>
      </c>
      <c r="C913" s="34">
        <v>8.9</v>
      </c>
      <c r="D913" s="27" t="s">
        <v>27</v>
      </c>
      <c r="E913" s="603" t="s">
        <v>42</v>
      </c>
      <c r="F913" s="635"/>
    </row>
    <row r="914" spans="1:6">
      <c r="A914" s="47"/>
      <c r="B914" s="266" t="s">
        <v>45</v>
      </c>
      <c r="C914" s="34">
        <v>10.7</v>
      </c>
      <c r="D914" s="27" t="s">
        <v>27</v>
      </c>
      <c r="E914" s="603" t="s">
        <v>42</v>
      </c>
      <c r="F914" s="635"/>
    </row>
    <row r="915" spans="1:6">
      <c r="A915" s="47"/>
      <c r="B915" s="266" t="s">
        <v>41</v>
      </c>
      <c r="C915" s="34">
        <v>66.599999999999994</v>
      </c>
      <c r="D915" s="27" t="s">
        <v>15</v>
      </c>
      <c r="E915" s="603" t="s">
        <v>28</v>
      </c>
      <c r="F915" s="635"/>
    </row>
    <row r="916" spans="1:6">
      <c r="A916" s="47"/>
      <c r="B916" s="266" t="s">
        <v>158</v>
      </c>
      <c r="C916" s="34">
        <v>23.3</v>
      </c>
      <c r="D916" s="27" t="s">
        <v>15</v>
      </c>
      <c r="E916" s="603" t="s">
        <v>28</v>
      </c>
      <c r="F916" s="635"/>
    </row>
    <row r="917" spans="1:6">
      <c r="A917" s="48"/>
      <c r="B917" s="279" t="s">
        <v>159</v>
      </c>
      <c r="C917" s="36">
        <v>17.899999999999999</v>
      </c>
      <c r="D917" s="29" t="s">
        <v>15</v>
      </c>
      <c r="E917" s="603" t="s">
        <v>28</v>
      </c>
      <c r="F917" s="636"/>
    </row>
    <row r="918" spans="1:6">
      <c r="A918" s="639" t="s">
        <v>160</v>
      </c>
      <c r="B918" s="640"/>
      <c r="C918" s="640"/>
      <c r="D918" s="650"/>
      <c r="E918" s="650"/>
      <c r="F918" s="651"/>
    </row>
    <row r="919" spans="1:6">
      <c r="A919" s="46">
        <v>3</v>
      </c>
      <c r="B919" s="282" t="s">
        <v>161</v>
      </c>
      <c r="C919" s="39">
        <f>SUM(C920+C930+C938)</f>
        <v>737.4</v>
      </c>
      <c r="D919" s="540"/>
      <c r="E919" s="602"/>
      <c r="F919" s="638" t="s">
        <v>162</v>
      </c>
    </row>
    <row r="920" spans="1:6">
      <c r="A920" s="47" t="s">
        <v>11</v>
      </c>
      <c r="B920" s="140" t="s">
        <v>12</v>
      </c>
      <c r="C920" s="18">
        <f>SUM(C921:C929)</f>
        <v>162.80000000000001</v>
      </c>
      <c r="D920" s="60" t="s">
        <v>72</v>
      </c>
      <c r="E920" s="589" t="s">
        <v>9</v>
      </c>
      <c r="F920" s="633"/>
    </row>
    <row r="921" spans="1:6">
      <c r="A921" s="47"/>
      <c r="B921" s="266" t="s">
        <v>163</v>
      </c>
      <c r="C921" s="541">
        <f>50.5</f>
        <v>50.5</v>
      </c>
      <c r="D921" s="543" t="s">
        <v>15</v>
      </c>
      <c r="E921" s="603" t="s">
        <v>16</v>
      </c>
      <c r="F921" s="633"/>
    </row>
    <row r="922" spans="1:6">
      <c r="A922" s="47"/>
      <c r="B922" s="537" t="s">
        <v>17</v>
      </c>
      <c r="C922" s="541">
        <f>40.1-19.8</f>
        <v>20.3</v>
      </c>
      <c r="D922" s="543" t="s">
        <v>15</v>
      </c>
      <c r="E922" s="603" t="s">
        <v>18</v>
      </c>
      <c r="F922" s="633"/>
    </row>
    <row r="923" spans="1:6">
      <c r="A923" s="47"/>
      <c r="B923" s="537" t="s">
        <v>144</v>
      </c>
      <c r="C923" s="541">
        <v>5.5</v>
      </c>
      <c r="D923" s="543" t="s">
        <v>15</v>
      </c>
      <c r="E923" s="603" t="s">
        <v>18</v>
      </c>
      <c r="F923" s="633"/>
    </row>
    <row r="924" spans="1:6">
      <c r="A924" s="47"/>
      <c r="B924" s="537" t="s">
        <v>39</v>
      </c>
      <c r="C924" s="541">
        <f>50.2-30.7</f>
        <v>19.500000000000004</v>
      </c>
      <c r="D924" s="543" t="s">
        <v>15</v>
      </c>
      <c r="E924" s="603" t="s">
        <v>18</v>
      </c>
      <c r="F924" s="633"/>
    </row>
    <row r="925" spans="1:6">
      <c r="A925" s="47"/>
      <c r="B925" s="537" t="s">
        <v>130</v>
      </c>
      <c r="C925" s="541">
        <v>5.2</v>
      </c>
      <c r="D925" s="543" t="s">
        <v>15</v>
      </c>
      <c r="E925" s="603" t="s">
        <v>18</v>
      </c>
      <c r="F925" s="633"/>
    </row>
    <row r="926" spans="1:6">
      <c r="A926" s="47"/>
      <c r="B926" s="537" t="s">
        <v>45</v>
      </c>
      <c r="C926" s="541">
        <v>4.3</v>
      </c>
      <c r="D926" s="543" t="s">
        <v>27</v>
      </c>
      <c r="E926" s="603" t="s">
        <v>18</v>
      </c>
      <c r="F926" s="633"/>
    </row>
    <row r="927" spans="1:6">
      <c r="A927" s="47"/>
      <c r="B927" s="537" t="s">
        <v>36</v>
      </c>
      <c r="C927" s="541">
        <v>21.3</v>
      </c>
      <c r="D927" s="543" t="s">
        <v>27</v>
      </c>
      <c r="E927" s="603" t="s">
        <v>28</v>
      </c>
      <c r="F927" s="633"/>
    </row>
    <row r="928" spans="1:6">
      <c r="A928" s="47"/>
      <c r="B928" s="537" t="s">
        <v>149</v>
      </c>
      <c r="C928" s="541">
        <v>13.8</v>
      </c>
      <c r="D928" s="543" t="s">
        <v>32</v>
      </c>
      <c r="E928" s="603" t="s">
        <v>42</v>
      </c>
      <c r="F928" s="633"/>
    </row>
    <row r="929" spans="1:6">
      <c r="A929" s="47"/>
      <c r="B929" s="537" t="s">
        <v>147</v>
      </c>
      <c r="C929" s="541">
        <v>22.4</v>
      </c>
      <c r="D929" s="543" t="s">
        <v>148</v>
      </c>
      <c r="E929" s="603" t="s">
        <v>42</v>
      </c>
      <c r="F929" s="633"/>
    </row>
    <row r="930" spans="1:6">
      <c r="A930" s="47" t="s">
        <v>29</v>
      </c>
      <c r="B930" s="140" t="s">
        <v>30</v>
      </c>
      <c r="C930" s="18">
        <f>SUM(C931:C937)</f>
        <v>367.7</v>
      </c>
      <c r="D930" s="60" t="s">
        <v>72</v>
      </c>
      <c r="E930" s="589" t="s">
        <v>9</v>
      </c>
      <c r="F930" s="633"/>
    </row>
    <row r="931" spans="1:6">
      <c r="A931" s="47"/>
      <c r="B931" s="537" t="s">
        <v>17</v>
      </c>
      <c r="C931" s="541">
        <v>155.30000000000001</v>
      </c>
      <c r="D931" s="543" t="s">
        <v>15</v>
      </c>
      <c r="E931" s="603" t="s">
        <v>18</v>
      </c>
      <c r="F931" s="633"/>
    </row>
    <row r="932" spans="1:6">
      <c r="A932" s="47"/>
      <c r="B932" s="537" t="s">
        <v>36</v>
      </c>
      <c r="C932" s="541">
        <v>136</v>
      </c>
      <c r="D932" s="543" t="s">
        <v>15</v>
      </c>
      <c r="E932" s="603" t="s">
        <v>18</v>
      </c>
      <c r="F932" s="633"/>
    </row>
    <row r="933" spans="1:6">
      <c r="A933" s="47"/>
      <c r="B933" s="537" t="s">
        <v>39</v>
      </c>
      <c r="C933" s="541">
        <v>40.200000000000003</v>
      </c>
      <c r="D933" s="543" t="s">
        <v>20</v>
      </c>
      <c r="E933" s="603" t="s">
        <v>18</v>
      </c>
      <c r="F933" s="633"/>
    </row>
    <row r="934" spans="1:6">
      <c r="A934" s="47"/>
      <c r="B934" s="537" t="s">
        <v>21</v>
      </c>
      <c r="C934" s="541">
        <v>2.5</v>
      </c>
      <c r="D934" s="543" t="s">
        <v>22</v>
      </c>
      <c r="E934" s="603" t="s">
        <v>18</v>
      </c>
      <c r="F934" s="633"/>
    </row>
    <row r="935" spans="1:6">
      <c r="A935" s="47"/>
      <c r="B935" s="537"/>
      <c r="C935" s="541"/>
      <c r="D935" s="543" t="s">
        <v>67</v>
      </c>
      <c r="E935" s="603" t="s">
        <v>68</v>
      </c>
      <c r="F935" s="633"/>
    </row>
    <row r="936" spans="1:6">
      <c r="A936" s="47"/>
      <c r="B936" s="537" t="s">
        <v>45</v>
      </c>
      <c r="C936" s="541">
        <v>17.5</v>
      </c>
      <c r="D936" s="543" t="s">
        <v>27</v>
      </c>
      <c r="E936" s="603" t="s">
        <v>42</v>
      </c>
      <c r="F936" s="633"/>
    </row>
    <row r="937" spans="1:6">
      <c r="A937" s="47"/>
      <c r="B937" s="537" t="s">
        <v>47</v>
      </c>
      <c r="C937" s="541">
        <v>16.2</v>
      </c>
      <c r="D937" s="543" t="s">
        <v>20</v>
      </c>
      <c r="E937" s="603" t="s">
        <v>18</v>
      </c>
      <c r="F937" s="633"/>
    </row>
    <row r="938" spans="1:6">
      <c r="A938" s="47" t="s">
        <v>37</v>
      </c>
      <c r="B938" s="140" t="s">
        <v>38</v>
      </c>
      <c r="C938" s="18">
        <f>SUM(C939:C944)</f>
        <v>206.9</v>
      </c>
      <c r="D938" s="60" t="s">
        <v>72</v>
      </c>
      <c r="E938" s="589" t="s">
        <v>9</v>
      </c>
      <c r="F938" s="633"/>
    </row>
    <row r="939" spans="1:6">
      <c r="A939" s="47"/>
      <c r="B939" s="537" t="s">
        <v>17</v>
      </c>
      <c r="C939" s="541">
        <v>9.4</v>
      </c>
      <c r="D939" s="543" t="s">
        <v>15</v>
      </c>
      <c r="E939" s="603" t="s">
        <v>18</v>
      </c>
      <c r="F939" s="633"/>
    </row>
    <row r="940" spans="1:6">
      <c r="A940" s="47"/>
      <c r="B940" s="537" t="s">
        <v>39</v>
      </c>
      <c r="C940" s="541">
        <v>58.9</v>
      </c>
      <c r="D940" s="543" t="s">
        <v>27</v>
      </c>
      <c r="E940" s="603" t="s">
        <v>18</v>
      </c>
      <c r="F940" s="633"/>
    </row>
    <row r="941" spans="1:6">
      <c r="A941" s="47"/>
      <c r="B941" s="537" t="s">
        <v>47</v>
      </c>
      <c r="C941" s="541">
        <v>16.2</v>
      </c>
      <c r="D941" s="543" t="s">
        <v>20</v>
      </c>
      <c r="E941" s="603" t="s">
        <v>18</v>
      </c>
      <c r="F941" s="633"/>
    </row>
    <row r="942" spans="1:6">
      <c r="A942" s="47"/>
      <c r="B942" s="537" t="s">
        <v>159</v>
      </c>
      <c r="C942" s="541">
        <v>34.200000000000003</v>
      </c>
      <c r="D942" s="543" t="s">
        <v>15</v>
      </c>
      <c r="E942" s="603" t="s">
        <v>42</v>
      </c>
      <c r="F942" s="633"/>
    </row>
    <row r="943" spans="1:6">
      <c r="A943" s="47"/>
      <c r="B943" s="537" t="s">
        <v>41</v>
      </c>
      <c r="C943" s="541">
        <v>58.2</v>
      </c>
      <c r="D943" s="543" t="s">
        <v>15</v>
      </c>
      <c r="E943" s="603" t="s">
        <v>42</v>
      </c>
      <c r="F943" s="633"/>
    </row>
    <row r="944" spans="1:6">
      <c r="A944" s="48"/>
      <c r="B944" s="141" t="s">
        <v>73</v>
      </c>
      <c r="C944" s="43">
        <v>30</v>
      </c>
      <c r="D944" s="42" t="s">
        <v>27</v>
      </c>
      <c r="E944" s="43" t="s">
        <v>42</v>
      </c>
      <c r="F944" s="633"/>
    </row>
    <row r="945" spans="1:6">
      <c r="A945" s="639" t="s">
        <v>164</v>
      </c>
      <c r="B945" s="640"/>
      <c r="C945" s="640"/>
      <c r="D945" s="640"/>
      <c r="E945" s="640"/>
      <c r="F945" s="681"/>
    </row>
    <row r="946" spans="1:6">
      <c r="A946" s="9">
        <v>4</v>
      </c>
      <c r="B946" s="282" t="s">
        <v>165</v>
      </c>
      <c r="C946" s="45">
        <f>SUM(C947+C950+C960)</f>
        <v>684.1</v>
      </c>
      <c r="D946" s="540"/>
      <c r="E946" s="7"/>
      <c r="F946" s="633" t="s">
        <v>166</v>
      </c>
    </row>
    <row r="947" spans="1:6">
      <c r="A947" s="545" t="s">
        <v>11</v>
      </c>
      <c r="B947" s="140" t="s">
        <v>167</v>
      </c>
      <c r="C947" s="546">
        <f>SUM(C948:C949)</f>
        <v>18.5</v>
      </c>
      <c r="D947" s="60" t="s">
        <v>72</v>
      </c>
      <c r="E947" s="589" t="s">
        <v>9</v>
      </c>
      <c r="F947" s="633"/>
    </row>
    <row r="948" spans="1:6">
      <c r="A948" s="545"/>
      <c r="B948" s="537" t="s">
        <v>17</v>
      </c>
      <c r="C948" s="544">
        <v>9</v>
      </c>
      <c r="D948" s="543" t="s">
        <v>15</v>
      </c>
      <c r="E948" s="32" t="s">
        <v>18</v>
      </c>
      <c r="F948" s="633"/>
    </row>
    <row r="949" spans="1:6">
      <c r="A949" s="545"/>
      <c r="B949" s="537" t="s">
        <v>17</v>
      </c>
      <c r="C949" s="544">
        <v>9.5</v>
      </c>
      <c r="D949" s="543" t="s">
        <v>15</v>
      </c>
      <c r="E949" s="32" t="s">
        <v>42</v>
      </c>
      <c r="F949" s="633"/>
    </row>
    <row r="950" spans="1:6">
      <c r="A950" s="545" t="s">
        <v>29</v>
      </c>
      <c r="B950" s="140" t="s">
        <v>12</v>
      </c>
      <c r="C950" s="546">
        <f>SUM(C951:C959)</f>
        <v>453.1</v>
      </c>
      <c r="D950" s="543"/>
      <c r="E950" s="32"/>
      <c r="F950" s="633"/>
    </row>
    <row r="951" spans="1:6">
      <c r="A951" s="545"/>
      <c r="B951" s="537" t="s">
        <v>25</v>
      </c>
      <c r="C951" s="544">
        <v>41.8</v>
      </c>
      <c r="D951" s="543" t="s">
        <v>15</v>
      </c>
      <c r="E951" s="32" t="s">
        <v>16</v>
      </c>
      <c r="F951" s="633"/>
    </row>
    <row r="952" spans="1:6">
      <c r="A952" s="545"/>
      <c r="B952" s="537" t="s">
        <v>17</v>
      </c>
      <c r="C952" s="544">
        <f>188.9+0.2</f>
        <v>189.1</v>
      </c>
      <c r="D952" s="543" t="s">
        <v>15</v>
      </c>
      <c r="E952" s="32" t="s">
        <v>18</v>
      </c>
      <c r="F952" s="633"/>
    </row>
    <row r="953" spans="1:6">
      <c r="A953" s="545"/>
      <c r="B953" s="537" t="s">
        <v>14</v>
      </c>
      <c r="C953" s="544">
        <v>93.1</v>
      </c>
      <c r="D953" s="543" t="s">
        <v>20</v>
      </c>
      <c r="E953" s="32" t="s">
        <v>18</v>
      </c>
      <c r="F953" s="633"/>
    </row>
    <row r="954" spans="1:6">
      <c r="A954" s="545"/>
      <c r="B954" s="537" t="s">
        <v>144</v>
      </c>
      <c r="C954" s="544">
        <v>11</v>
      </c>
      <c r="D954" s="543" t="s">
        <v>15</v>
      </c>
      <c r="E954" s="32" t="s">
        <v>18</v>
      </c>
      <c r="F954" s="633"/>
    </row>
    <row r="955" spans="1:6">
      <c r="A955" s="545"/>
      <c r="B955" s="537" t="s">
        <v>21</v>
      </c>
      <c r="C955" s="544">
        <v>10.8</v>
      </c>
      <c r="D955" s="543" t="s">
        <v>22</v>
      </c>
      <c r="E955" s="32" t="s">
        <v>18</v>
      </c>
      <c r="F955" s="633"/>
    </row>
    <row r="956" spans="1:6">
      <c r="A956" s="545"/>
      <c r="B956" s="537"/>
      <c r="C956" s="544"/>
      <c r="D956" s="543" t="s">
        <v>67</v>
      </c>
      <c r="E956" s="32" t="s">
        <v>68</v>
      </c>
      <c r="F956" s="633"/>
    </row>
    <row r="957" spans="1:6">
      <c r="A957" s="545"/>
      <c r="B957" s="537" t="s">
        <v>147</v>
      </c>
      <c r="C957" s="544">
        <v>20</v>
      </c>
      <c r="D957" s="543" t="s">
        <v>148</v>
      </c>
      <c r="E957" s="32" t="s">
        <v>18</v>
      </c>
      <c r="F957" s="633"/>
    </row>
    <row r="958" spans="1:6">
      <c r="A958" s="545"/>
      <c r="B958" s="537" t="s">
        <v>47</v>
      </c>
      <c r="C958" s="544">
        <v>11.5</v>
      </c>
      <c r="D958" s="543" t="s">
        <v>20</v>
      </c>
      <c r="E958" s="32" t="s">
        <v>18</v>
      </c>
      <c r="F958" s="633"/>
    </row>
    <row r="959" spans="1:6">
      <c r="A959" s="545"/>
      <c r="B959" s="537" t="s">
        <v>149</v>
      </c>
      <c r="C959" s="544">
        <v>75.8</v>
      </c>
      <c r="D959" s="543" t="s">
        <v>32</v>
      </c>
      <c r="E959" s="32" t="s">
        <v>42</v>
      </c>
      <c r="F959" s="633"/>
    </row>
    <row r="960" spans="1:6">
      <c r="A960" s="545" t="s">
        <v>29</v>
      </c>
      <c r="B960" s="140" t="s">
        <v>30</v>
      </c>
      <c r="C960" s="546">
        <f>SUM(C961:C967)</f>
        <v>212.5</v>
      </c>
      <c r="D960" s="543"/>
      <c r="E960" s="32"/>
      <c r="F960" s="633"/>
    </row>
    <row r="961" spans="1:6">
      <c r="A961" s="545"/>
      <c r="B961" s="537" t="s">
        <v>17</v>
      </c>
      <c r="C961" s="544">
        <v>152.4</v>
      </c>
      <c r="D961" s="543" t="s">
        <v>15</v>
      </c>
      <c r="E961" s="32" t="s">
        <v>18</v>
      </c>
      <c r="F961" s="633"/>
    </row>
    <row r="962" spans="1:6">
      <c r="A962" s="545"/>
      <c r="B962" s="537" t="s">
        <v>130</v>
      </c>
      <c r="C962" s="544">
        <v>11.3</v>
      </c>
      <c r="D962" s="543" t="s">
        <v>15</v>
      </c>
      <c r="E962" s="32" t="s">
        <v>18</v>
      </c>
      <c r="F962" s="633"/>
    </row>
    <row r="963" spans="1:6">
      <c r="A963" s="545"/>
      <c r="B963" s="537" t="s">
        <v>19</v>
      </c>
      <c r="C963" s="544">
        <v>4.7</v>
      </c>
      <c r="D963" s="543" t="s">
        <v>15</v>
      </c>
      <c r="E963" s="32" t="s">
        <v>18</v>
      </c>
      <c r="F963" s="633"/>
    </row>
    <row r="964" spans="1:6">
      <c r="A964" s="545"/>
      <c r="B964" s="537" t="s">
        <v>21</v>
      </c>
      <c r="C964" s="544">
        <v>7.4</v>
      </c>
      <c r="D964" s="543" t="s">
        <v>22</v>
      </c>
      <c r="E964" s="32" t="s">
        <v>18</v>
      </c>
      <c r="F964" s="633"/>
    </row>
    <row r="965" spans="1:6">
      <c r="A965" s="545"/>
      <c r="B965" s="537"/>
      <c r="C965" s="544"/>
      <c r="D965" s="543" t="s">
        <v>67</v>
      </c>
      <c r="E965" s="32" t="s">
        <v>68</v>
      </c>
      <c r="F965" s="633"/>
    </row>
    <row r="966" spans="1:6">
      <c r="A966" s="545"/>
      <c r="B966" s="537" t="s">
        <v>39</v>
      </c>
      <c r="C966" s="544">
        <v>23.1</v>
      </c>
      <c r="D966" s="543" t="s">
        <v>27</v>
      </c>
      <c r="E966" s="32" t="s">
        <v>18</v>
      </c>
      <c r="F966" s="633"/>
    </row>
    <row r="967" spans="1:6">
      <c r="A967" s="545"/>
      <c r="B967" s="537" t="s">
        <v>47</v>
      </c>
      <c r="C967" s="544">
        <v>13.6</v>
      </c>
      <c r="D967" s="543" t="s">
        <v>20</v>
      </c>
      <c r="E967" s="32" t="s">
        <v>18</v>
      </c>
      <c r="F967" s="633"/>
    </row>
    <row r="968" spans="1:6">
      <c r="A968" s="545">
        <v>5</v>
      </c>
      <c r="B968" s="139" t="s">
        <v>168</v>
      </c>
      <c r="C968" s="546">
        <f>SUM(C971+C969+C976)</f>
        <v>235.60000000000002</v>
      </c>
      <c r="D968" s="60" t="s">
        <v>72</v>
      </c>
      <c r="E968" s="589" t="s">
        <v>9</v>
      </c>
      <c r="F968" s="633"/>
    </row>
    <row r="969" spans="1:6">
      <c r="A969" s="545" t="s">
        <v>11</v>
      </c>
      <c r="B969" s="140" t="s">
        <v>169</v>
      </c>
      <c r="C969" s="546">
        <f>SUM(C970:C970)</f>
        <v>53.9</v>
      </c>
      <c r="D969" s="543"/>
      <c r="E969" s="32"/>
      <c r="F969" s="633"/>
    </row>
    <row r="970" spans="1:6">
      <c r="A970" s="545"/>
      <c r="B970" s="537" t="s">
        <v>36</v>
      </c>
      <c r="C970" s="544">
        <v>53.9</v>
      </c>
      <c r="D970" s="543" t="s">
        <v>27</v>
      </c>
      <c r="E970" s="32" t="s">
        <v>28</v>
      </c>
      <c r="F970" s="633"/>
    </row>
    <row r="971" spans="1:6">
      <c r="A971" s="545" t="s">
        <v>29</v>
      </c>
      <c r="B971" s="140" t="s">
        <v>12</v>
      </c>
      <c r="C971" s="546">
        <f>SUM(C972:C975)</f>
        <v>136.80000000000001</v>
      </c>
      <c r="D971" s="543" t="s">
        <v>13</v>
      </c>
      <c r="E971" s="32" t="s">
        <v>9</v>
      </c>
      <c r="F971" s="633"/>
    </row>
    <row r="972" spans="1:6">
      <c r="A972" s="545"/>
      <c r="B972" s="537" t="s">
        <v>36</v>
      </c>
      <c r="C972" s="544">
        <v>105.7</v>
      </c>
      <c r="D972" s="543" t="s">
        <v>15</v>
      </c>
      <c r="E972" s="32" t="s">
        <v>18</v>
      </c>
      <c r="F972" s="633"/>
    </row>
    <row r="973" spans="1:6">
      <c r="A973" s="545"/>
      <c r="B973" s="537" t="s">
        <v>170</v>
      </c>
      <c r="C973" s="544">
        <v>18.600000000000001</v>
      </c>
      <c r="D973" s="543" t="s">
        <v>32</v>
      </c>
      <c r="E973" s="32" t="s">
        <v>150</v>
      </c>
      <c r="F973" s="633"/>
    </row>
    <row r="974" spans="1:6">
      <c r="A974" s="545"/>
      <c r="B974" s="537" t="s">
        <v>14</v>
      </c>
      <c r="C974" s="544">
        <v>4</v>
      </c>
      <c r="D974" s="543" t="s">
        <v>27</v>
      </c>
      <c r="E974" s="32" t="s">
        <v>18</v>
      </c>
      <c r="F974" s="633"/>
    </row>
    <row r="975" spans="1:6">
      <c r="A975" s="545"/>
      <c r="B975" s="537" t="s">
        <v>130</v>
      </c>
      <c r="C975" s="544">
        <v>8.5</v>
      </c>
      <c r="D975" s="543" t="s">
        <v>15</v>
      </c>
      <c r="E975" s="32" t="s">
        <v>18</v>
      </c>
      <c r="F975" s="633"/>
    </row>
    <row r="976" spans="1:6">
      <c r="A976" s="545" t="s">
        <v>37</v>
      </c>
      <c r="B976" s="140" t="s">
        <v>30</v>
      </c>
      <c r="C976" s="546">
        <f>C977</f>
        <v>44.9</v>
      </c>
      <c r="D976" s="543" t="s">
        <v>13</v>
      </c>
      <c r="E976" s="32" t="s">
        <v>9</v>
      </c>
      <c r="F976" s="633"/>
    </row>
    <row r="977" spans="1:6">
      <c r="A977" s="13"/>
      <c r="B977" s="141" t="s">
        <v>40</v>
      </c>
      <c r="C977" s="22">
        <v>44.9</v>
      </c>
      <c r="D977" s="42" t="s">
        <v>15</v>
      </c>
      <c r="E977" s="91" t="s">
        <v>28</v>
      </c>
      <c r="F977" s="633"/>
    </row>
    <row r="978" spans="1:6" ht="25.5">
      <c r="A978" s="47">
        <v>6</v>
      </c>
      <c r="B978" s="287" t="s">
        <v>171</v>
      </c>
      <c r="C978" s="40">
        <f>SUM(C983+C979+C993+C998+C1007+C1016+C1045)</f>
        <v>3062.4</v>
      </c>
      <c r="D978" s="43">
        <v>6</v>
      </c>
      <c r="E978" s="43" t="s">
        <v>9</v>
      </c>
      <c r="F978" s="37"/>
    </row>
    <row r="979" spans="1:6">
      <c r="A979" s="47" t="s">
        <v>11</v>
      </c>
      <c r="B979" s="281" t="s">
        <v>169</v>
      </c>
      <c r="C979" s="38">
        <f>SUM(C980:C982)</f>
        <v>410.09999999999997</v>
      </c>
      <c r="D979" s="41" t="s">
        <v>13</v>
      </c>
      <c r="E979" s="602" t="s">
        <v>9</v>
      </c>
      <c r="F979" s="638" t="s">
        <v>172</v>
      </c>
    </row>
    <row r="980" spans="1:6">
      <c r="A980" s="47"/>
      <c r="B980" s="537" t="s">
        <v>39</v>
      </c>
      <c r="C980" s="34">
        <v>92.9</v>
      </c>
      <c r="D980" s="543" t="s">
        <v>27</v>
      </c>
      <c r="E980" s="603" t="s">
        <v>28</v>
      </c>
      <c r="F980" s="633"/>
    </row>
    <row r="981" spans="1:6">
      <c r="A981" s="47"/>
      <c r="B981" s="537" t="s">
        <v>47</v>
      </c>
      <c r="C981" s="34">
        <v>13.8</v>
      </c>
      <c r="D981" s="543" t="s">
        <v>27</v>
      </c>
      <c r="E981" s="603" t="s">
        <v>28</v>
      </c>
      <c r="F981" s="633"/>
    </row>
    <row r="982" spans="1:6">
      <c r="A982" s="47"/>
      <c r="B982" s="537" t="s">
        <v>36</v>
      </c>
      <c r="C982" s="34">
        <v>303.39999999999998</v>
      </c>
      <c r="D982" s="543" t="s">
        <v>148</v>
      </c>
      <c r="E982" s="603" t="s">
        <v>28</v>
      </c>
      <c r="F982" s="633"/>
    </row>
    <row r="983" spans="1:6">
      <c r="A983" s="47" t="s">
        <v>29</v>
      </c>
      <c r="B983" s="140" t="s">
        <v>12</v>
      </c>
      <c r="C983" s="18">
        <f>SUM(C984:C992)</f>
        <v>271.99999999999994</v>
      </c>
      <c r="D983" s="543" t="s">
        <v>13</v>
      </c>
      <c r="E983" s="603" t="s">
        <v>9</v>
      </c>
      <c r="F983" s="633"/>
    </row>
    <row r="984" spans="1:6">
      <c r="A984" s="47"/>
      <c r="B984" s="537" t="s">
        <v>173</v>
      </c>
      <c r="C984" s="541">
        <f>21.5+18.8+13.5</f>
        <v>53.8</v>
      </c>
      <c r="D984" s="543" t="s">
        <v>15</v>
      </c>
      <c r="E984" s="603" t="s">
        <v>16</v>
      </c>
      <c r="F984" s="633"/>
    </row>
    <row r="985" spans="1:6">
      <c r="A985" s="47"/>
      <c r="B985" s="537" t="s">
        <v>144</v>
      </c>
      <c r="C985" s="541">
        <v>6.6</v>
      </c>
      <c r="D985" s="543" t="s">
        <v>15</v>
      </c>
      <c r="E985" s="603" t="s">
        <v>18</v>
      </c>
      <c r="F985" s="633"/>
    </row>
    <row r="986" spans="1:6">
      <c r="A986" s="47"/>
      <c r="B986" s="537" t="s">
        <v>14</v>
      </c>
      <c r="C986" s="541">
        <v>30.7</v>
      </c>
      <c r="D986" s="543" t="s">
        <v>15</v>
      </c>
      <c r="E986" s="603" t="s">
        <v>18</v>
      </c>
      <c r="F986" s="633"/>
    </row>
    <row r="987" spans="1:6">
      <c r="A987" s="47"/>
      <c r="B987" s="537" t="s">
        <v>17</v>
      </c>
      <c r="C987" s="541">
        <v>26.4</v>
      </c>
      <c r="D987" s="543" t="s">
        <v>15</v>
      </c>
      <c r="E987" s="603" t="s">
        <v>18</v>
      </c>
      <c r="F987" s="633"/>
    </row>
    <row r="988" spans="1:6">
      <c r="A988" s="47"/>
      <c r="B988" s="537" t="s">
        <v>174</v>
      </c>
      <c r="C988" s="541">
        <v>3.2</v>
      </c>
      <c r="D988" s="543" t="s">
        <v>27</v>
      </c>
      <c r="E988" s="603" t="s">
        <v>18</v>
      </c>
      <c r="F988" s="633"/>
    </row>
    <row r="989" spans="1:6">
      <c r="A989" s="47"/>
      <c r="B989" s="537" t="s">
        <v>149</v>
      </c>
      <c r="C989" s="34">
        <v>50.5</v>
      </c>
      <c r="D989" s="543" t="s">
        <v>32</v>
      </c>
      <c r="E989" s="603" t="s">
        <v>42</v>
      </c>
      <c r="F989" s="633"/>
    </row>
    <row r="990" spans="1:6">
      <c r="A990" s="47"/>
      <c r="B990" s="537" t="s">
        <v>175</v>
      </c>
      <c r="C990" s="34">
        <v>97.6</v>
      </c>
      <c r="D990" s="543" t="s">
        <v>15</v>
      </c>
      <c r="E990" s="603" t="s">
        <v>42</v>
      </c>
      <c r="F990" s="633"/>
    </row>
    <row r="991" spans="1:6">
      <c r="A991" s="47"/>
      <c r="B991" s="537" t="s">
        <v>21</v>
      </c>
      <c r="C991" s="541">
        <v>3.2</v>
      </c>
      <c r="D991" s="543" t="s">
        <v>22</v>
      </c>
      <c r="E991" s="603" t="s">
        <v>18</v>
      </c>
      <c r="F991" s="633"/>
    </row>
    <row r="992" spans="1:6">
      <c r="A992" s="47"/>
      <c r="B992" s="537"/>
      <c r="C992" s="541"/>
      <c r="D992" s="543" t="s">
        <v>67</v>
      </c>
      <c r="E992" s="603" t="s">
        <v>68</v>
      </c>
      <c r="F992" s="633"/>
    </row>
    <row r="993" spans="1:6">
      <c r="A993" s="47" t="s">
        <v>37</v>
      </c>
      <c r="B993" s="140" t="s">
        <v>30</v>
      </c>
      <c r="C993" s="18">
        <f>SUM(C994:C997)</f>
        <v>433.9</v>
      </c>
      <c r="D993" s="60" t="s">
        <v>72</v>
      </c>
      <c r="E993" s="589" t="s">
        <v>9</v>
      </c>
      <c r="F993" s="633"/>
    </row>
    <row r="994" spans="1:6">
      <c r="A994" s="47"/>
      <c r="B994" s="537" t="s">
        <v>17</v>
      </c>
      <c r="C994" s="541">
        <f>89.5</f>
        <v>89.5</v>
      </c>
      <c r="D994" s="543" t="s">
        <v>15</v>
      </c>
      <c r="E994" s="603" t="s">
        <v>18</v>
      </c>
      <c r="F994" s="633"/>
    </row>
    <row r="995" spans="1:6">
      <c r="A995" s="47"/>
      <c r="B995" s="537" t="s">
        <v>36</v>
      </c>
      <c r="C995" s="34">
        <v>277.5</v>
      </c>
      <c r="D995" s="543" t="s">
        <v>15</v>
      </c>
      <c r="E995" s="603" t="s">
        <v>28</v>
      </c>
      <c r="F995" s="633"/>
    </row>
    <row r="996" spans="1:6">
      <c r="A996" s="47"/>
      <c r="B996" s="537" t="s">
        <v>24</v>
      </c>
      <c r="C996" s="34">
        <v>28.2</v>
      </c>
      <c r="D996" s="543" t="s">
        <v>27</v>
      </c>
      <c r="E996" s="603" t="s">
        <v>28</v>
      </c>
      <c r="F996" s="633"/>
    </row>
    <row r="997" spans="1:6">
      <c r="A997" s="47"/>
      <c r="B997" s="141" t="s">
        <v>170</v>
      </c>
      <c r="C997" s="36">
        <v>38.700000000000003</v>
      </c>
      <c r="D997" s="42" t="s">
        <v>32</v>
      </c>
      <c r="E997" s="43" t="s">
        <v>42</v>
      </c>
      <c r="F997" s="637"/>
    </row>
    <row r="998" spans="1:6">
      <c r="A998" s="545" t="s">
        <v>81</v>
      </c>
      <c r="B998" s="281" t="s">
        <v>30</v>
      </c>
      <c r="C998" s="39">
        <f>SUM(C999:C1006)</f>
        <v>413.49999999999994</v>
      </c>
      <c r="D998" s="619" t="s">
        <v>72</v>
      </c>
      <c r="E998" s="596" t="s">
        <v>9</v>
      </c>
      <c r="F998" s="638" t="s">
        <v>176</v>
      </c>
    </row>
    <row r="999" spans="1:6">
      <c r="A999" s="545"/>
      <c r="B999" s="537" t="s">
        <v>14</v>
      </c>
      <c r="C999" s="541">
        <v>112.7</v>
      </c>
      <c r="D999" s="15" t="s">
        <v>20</v>
      </c>
      <c r="E999" s="603" t="s">
        <v>18</v>
      </c>
      <c r="F999" s="633"/>
    </row>
    <row r="1000" spans="1:6">
      <c r="A1000" s="545"/>
      <c r="B1000" s="537" t="s">
        <v>36</v>
      </c>
      <c r="C1000" s="541">
        <v>106.9</v>
      </c>
      <c r="D1000" s="15" t="s">
        <v>15</v>
      </c>
      <c r="E1000" s="603" t="s">
        <v>18</v>
      </c>
      <c r="F1000" s="633"/>
    </row>
    <row r="1001" spans="1:6">
      <c r="A1001" s="545"/>
      <c r="B1001" s="537" t="s">
        <v>47</v>
      </c>
      <c r="C1001" s="541">
        <v>26</v>
      </c>
      <c r="D1001" s="15" t="s">
        <v>20</v>
      </c>
      <c r="E1001" s="603" t="s">
        <v>18</v>
      </c>
      <c r="F1001" s="633"/>
    </row>
    <row r="1002" spans="1:6">
      <c r="A1002" s="545"/>
      <c r="B1002" s="537" t="s">
        <v>174</v>
      </c>
      <c r="C1002" s="541">
        <v>9.1999999999999993</v>
      </c>
      <c r="D1002" s="15" t="s">
        <v>27</v>
      </c>
      <c r="E1002" s="603" t="s">
        <v>18</v>
      </c>
      <c r="F1002" s="633"/>
    </row>
    <row r="1003" spans="1:6">
      <c r="A1003" s="545"/>
      <c r="B1003" s="537" t="s">
        <v>75</v>
      </c>
      <c r="C1003" s="541">
        <v>109.6</v>
      </c>
      <c r="D1003" s="15" t="s">
        <v>15</v>
      </c>
      <c r="E1003" s="603" t="s">
        <v>42</v>
      </c>
      <c r="F1003" s="633"/>
    </row>
    <row r="1004" spans="1:6">
      <c r="A1004" s="545"/>
      <c r="B1004" s="537" t="s">
        <v>159</v>
      </c>
      <c r="C1004" s="541">
        <v>39.9</v>
      </c>
      <c r="D1004" s="15" t="s">
        <v>15</v>
      </c>
      <c r="E1004" s="603" t="s">
        <v>28</v>
      </c>
      <c r="F1004" s="633"/>
    </row>
    <row r="1005" spans="1:6">
      <c r="A1005" s="545"/>
      <c r="B1005" s="537" t="s">
        <v>21</v>
      </c>
      <c r="C1005" s="541">
        <v>9.1999999999999993</v>
      </c>
      <c r="D1005" s="15" t="s">
        <v>22</v>
      </c>
      <c r="E1005" s="603" t="s">
        <v>28</v>
      </c>
      <c r="F1005" s="633"/>
    </row>
    <row r="1006" spans="1:6">
      <c r="A1006" s="545"/>
      <c r="B1006" s="537"/>
      <c r="C1006" s="541"/>
      <c r="D1006" s="15" t="s">
        <v>67</v>
      </c>
      <c r="E1006" s="603" t="s">
        <v>28</v>
      </c>
      <c r="F1006" s="633"/>
    </row>
    <row r="1007" spans="1:6">
      <c r="A1007" s="545" t="s">
        <v>83</v>
      </c>
      <c r="B1007" s="140" t="s">
        <v>177</v>
      </c>
      <c r="C1007" s="18">
        <f>SUM(C1008:C1015)</f>
        <v>419.5</v>
      </c>
      <c r="D1007" s="60" t="s">
        <v>72</v>
      </c>
      <c r="E1007" s="589" t="s">
        <v>9</v>
      </c>
      <c r="F1007" s="633"/>
    </row>
    <row r="1008" spans="1:6">
      <c r="A1008" s="545"/>
      <c r="B1008" s="537" t="s">
        <v>14</v>
      </c>
      <c r="C1008" s="541">
        <v>78.7</v>
      </c>
      <c r="D1008" s="15" t="s">
        <v>20</v>
      </c>
      <c r="E1008" s="603" t="s">
        <v>18</v>
      </c>
      <c r="F1008" s="633"/>
    </row>
    <row r="1009" spans="1:6">
      <c r="A1009" s="545"/>
      <c r="B1009" s="537" t="s">
        <v>36</v>
      </c>
      <c r="C1009" s="541">
        <v>167.3</v>
      </c>
      <c r="D1009" s="15" t="s">
        <v>15</v>
      </c>
      <c r="E1009" s="603" t="s">
        <v>18</v>
      </c>
      <c r="F1009" s="633"/>
    </row>
    <row r="1010" spans="1:6">
      <c r="A1010" s="545"/>
      <c r="B1010" s="537" t="s">
        <v>174</v>
      </c>
      <c r="C1010" s="541">
        <v>4.8</v>
      </c>
      <c r="D1010" s="15" t="s">
        <v>27</v>
      </c>
      <c r="E1010" s="603" t="s">
        <v>18</v>
      </c>
      <c r="F1010" s="633"/>
    </row>
    <row r="1011" spans="1:6">
      <c r="A1011" s="545"/>
      <c r="B1011" s="537" t="s">
        <v>47</v>
      </c>
      <c r="C1011" s="541">
        <v>25.7</v>
      </c>
      <c r="D1011" s="15" t="s">
        <v>20</v>
      </c>
      <c r="E1011" s="603" t="s">
        <v>18</v>
      </c>
      <c r="F1011" s="633"/>
    </row>
    <row r="1012" spans="1:6">
      <c r="A1012" s="545"/>
      <c r="B1012" s="537" t="s">
        <v>21</v>
      </c>
      <c r="C1012" s="541">
        <v>8.9</v>
      </c>
      <c r="D1012" s="15" t="s">
        <v>22</v>
      </c>
      <c r="E1012" s="603" t="s">
        <v>18</v>
      </c>
      <c r="F1012" s="633"/>
    </row>
    <row r="1013" spans="1:6">
      <c r="A1013" s="545"/>
      <c r="B1013" s="537"/>
      <c r="C1013" s="541"/>
      <c r="D1013" s="15" t="s">
        <v>67</v>
      </c>
      <c r="E1013" s="603" t="s">
        <v>68</v>
      </c>
      <c r="F1013" s="633"/>
    </row>
    <row r="1014" spans="1:6">
      <c r="A1014" s="545"/>
      <c r="B1014" s="537" t="s">
        <v>36</v>
      </c>
      <c r="C1014" s="541">
        <v>19.100000000000001</v>
      </c>
      <c r="D1014" s="15" t="s">
        <v>15</v>
      </c>
      <c r="E1014" s="603" t="s">
        <v>28</v>
      </c>
      <c r="F1014" s="633"/>
    </row>
    <row r="1015" spans="1:6">
      <c r="A1015" s="545"/>
      <c r="B1015" s="537" t="s">
        <v>36</v>
      </c>
      <c r="C1015" s="541">
        <v>115</v>
      </c>
      <c r="D1015" s="15" t="s">
        <v>20</v>
      </c>
      <c r="E1015" s="603" t="s">
        <v>178</v>
      </c>
      <c r="F1015" s="633"/>
    </row>
    <row r="1016" spans="1:6">
      <c r="A1016" s="545" t="s">
        <v>179</v>
      </c>
      <c r="B1016" s="140" t="s">
        <v>180</v>
      </c>
      <c r="C1016" s="18">
        <f>SUM(C1017:C1018)</f>
        <v>66.5</v>
      </c>
      <c r="D1016" s="15" t="s">
        <v>13</v>
      </c>
      <c r="E1016" s="603" t="s">
        <v>9</v>
      </c>
      <c r="F1016" s="633"/>
    </row>
    <row r="1017" spans="1:6">
      <c r="A1017" s="545"/>
      <c r="B1017" s="537" t="s">
        <v>47</v>
      </c>
      <c r="C1017" s="541">
        <v>12.9</v>
      </c>
      <c r="D1017" s="15" t="s">
        <v>20</v>
      </c>
      <c r="E1017" s="603" t="s">
        <v>42</v>
      </c>
      <c r="F1017" s="633"/>
    </row>
    <row r="1018" spans="1:6">
      <c r="A1018" s="13"/>
      <c r="B1018" s="141" t="s">
        <v>36</v>
      </c>
      <c r="C1018" s="43">
        <v>53.6</v>
      </c>
      <c r="D1018" s="16" t="s">
        <v>20</v>
      </c>
      <c r="E1018" s="43" t="s">
        <v>178</v>
      </c>
      <c r="F1018" s="633"/>
    </row>
    <row r="1019" spans="1:6">
      <c r="A1019" s="9">
        <v>7</v>
      </c>
      <c r="B1019" s="280" t="s">
        <v>181</v>
      </c>
      <c r="C1019" s="44">
        <f>SUM(C1020:C1044)</f>
        <v>176.10000000000002</v>
      </c>
      <c r="D1019" s="619" t="s">
        <v>72</v>
      </c>
      <c r="E1019" s="596" t="s">
        <v>9</v>
      </c>
      <c r="F1019" s="635"/>
    </row>
    <row r="1020" spans="1:6">
      <c r="A1020" s="545"/>
      <c r="B1020" s="266" t="s">
        <v>182</v>
      </c>
      <c r="C1020" s="538">
        <v>5.2</v>
      </c>
      <c r="D1020" s="599" t="s">
        <v>15</v>
      </c>
      <c r="E1020" s="32" t="s">
        <v>28</v>
      </c>
      <c r="F1020" s="635"/>
    </row>
    <row r="1021" spans="1:6">
      <c r="A1021" s="545"/>
      <c r="B1021" s="266" t="s">
        <v>183</v>
      </c>
      <c r="C1021" s="538">
        <v>5.2</v>
      </c>
      <c r="D1021" s="599" t="s">
        <v>15</v>
      </c>
      <c r="E1021" s="32" t="s">
        <v>28</v>
      </c>
      <c r="F1021" s="635"/>
    </row>
    <row r="1022" spans="1:6">
      <c r="A1022" s="545"/>
      <c r="B1022" s="266" t="s">
        <v>184</v>
      </c>
      <c r="C1022" s="538">
        <v>5.2</v>
      </c>
      <c r="D1022" s="599" t="s">
        <v>15</v>
      </c>
      <c r="E1022" s="32" t="s">
        <v>28</v>
      </c>
      <c r="F1022" s="635"/>
    </row>
    <row r="1023" spans="1:6">
      <c r="A1023" s="545"/>
      <c r="B1023" s="266" t="s">
        <v>185</v>
      </c>
      <c r="C1023" s="538">
        <v>5.2</v>
      </c>
      <c r="D1023" s="599" t="s">
        <v>15</v>
      </c>
      <c r="E1023" s="32" t="s">
        <v>28</v>
      </c>
      <c r="F1023" s="635"/>
    </row>
    <row r="1024" spans="1:6">
      <c r="A1024" s="545"/>
      <c r="B1024" s="266" t="s">
        <v>186</v>
      </c>
      <c r="C1024" s="538">
        <v>5.2</v>
      </c>
      <c r="D1024" s="599" t="s">
        <v>15</v>
      </c>
      <c r="E1024" s="32" t="s">
        <v>28</v>
      </c>
      <c r="F1024" s="635"/>
    </row>
    <row r="1025" spans="1:6">
      <c r="A1025" s="545"/>
      <c r="B1025" s="266" t="s">
        <v>187</v>
      </c>
      <c r="C1025" s="538">
        <v>5.2</v>
      </c>
      <c r="D1025" s="599" t="s">
        <v>15</v>
      </c>
      <c r="E1025" s="32" t="s">
        <v>28</v>
      </c>
      <c r="F1025" s="635"/>
    </row>
    <row r="1026" spans="1:6">
      <c r="A1026" s="545"/>
      <c r="B1026" s="266" t="s">
        <v>188</v>
      </c>
      <c r="C1026" s="538">
        <v>5.2</v>
      </c>
      <c r="D1026" s="599" t="s">
        <v>15</v>
      </c>
      <c r="E1026" s="32" t="s">
        <v>28</v>
      </c>
      <c r="F1026" s="635"/>
    </row>
    <row r="1027" spans="1:6">
      <c r="A1027" s="545"/>
      <c r="B1027" s="266" t="s">
        <v>189</v>
      </c>
      <c r="C1027" s="538">
        <v>5.2</v>
      </c>
      <c r="D1027" s="599" t="s">
        <v>15</v>
      </c>
      <c r="E1027" s="32" t="s">
        <v>28</v>
      </c>
      <c r="F1027" s="635"/>
    </row>
    <row r="1028" spans="1:6">
      <c r="A1028" s="545"/>
      <c r="B1028" s="266" t="s">
        <v>190</v>
      </c>
      <c r="C1028" s="538">
        <v>5.2</v>
      </c>
      <c r="D1028" s="599" t="s">
        <v>15</v>
      </c>
      <c r="E1028" s="32" t="s">
        <v>28</v>
      </c>
      <c r="F1028" s="635"/>
    </row>
    <row r="1029" spans="1:6">
      <c r="A1029" s="545"/>
      <c r="B1029" s="266" t="s">
        <v>191</v>
      </c>
      <c r="C1029" s="538">
        <v>5.2</v>
      </c>
      <c r="D1029" s="599" t="s">
        <v>15</v>
      </c>
      <c r="E1029" s="32" t="s">
        <v>28</v>
      </c>
      <c r="F1029" s="635"/>
    </row>
    <row r="1030" spans="1:6">
      <c r="A1030" s="545"/>
      <c r="B1030" s="266" t="s">
        <v>192</v>
      </c>
      <c r="C1030" s="538">
        <v>5.2</v>
      </c>
      <c r="D1030" s="599" t="s">
        <v>15</v>
      </c>
      <c r="E1030" s="32" t="s">
        <v>28</v>
      </c>
      <c r="F1030" s="635"/>
    </row>
    <row r="1031" spans="1:6">
      <c r="A1031" s="545"/>
      <c r="B1031" s="266" t="s">
        <v>193</v>
      </c>
      <c r="C1031" s="538">
        <v>5.2</v>
      </c>
      <c r="D1031" s="599" t="s">
        <v>15</v>
      </c>
      <c r="E1031" s="32" t="s">
        <v>28</v>
      </c>
      <c r="F1031" s="635"/>
    </row>
    <row r="1032" spans="1:6">
      <c r="A1032" s="545"/>
      <c r="B1032" s="266" t="s">
        <v>194</v>
      </c>
      <c r="C1032" s="538">
        <v>5.2</v>
      </c>
      <c r="D1032" s="599" t="s">
        <v>15</v>
      </c>
      <c r="E1032" s="32" t="s">
        <v>28</v>
      </c>
      <c r="F1032" s="635"/>
    </row>
    <row r="1033" spans="1:6">
      <c r="A1033" s="545"/>
      <c r="B1033" s="266" t="s">
        <v>195</v>
      </c>
      <c r="C1033" s="538">
        <v>5.2</v>
      </c>
      <c r="D1033" s="599" t="s">
        <v>15</v>
      </c>
      <c r="E1033" s="32" t="s">
        <v>28</v>
      </c>
      <c r="F1033" s="635"/>
    </row>
    <row r="1034" spans="1:6">
      <c r="A1034" s="545"/>
      <c r="B1034" s="266" t="s">
        <v>196</v>
      </c>
      <c r="C1034" s="538">
        <v>5.2</v>
      </c>
      <c r="D1034" s="599" t="s">
        <v>15</v>
      </c>
      <c r="E1034" s="32" t="s">
        <v>28</v>
      </c>
      <c r="F1034" s="635"/>
    </row>
    <row r="1035" spans="1:6">
      <c r="A1035" s="545"/>
      <c r="B1035" s="266" t="s">
        <v>197</v>
      </c>
      <c r="C1035" s="538">
        <v>5.2</v>
      </c>
      <c r="D1035" s="599" t="s">
        <v>15</v>
      </c>
      <c r="E1035" s="32" t="s">
        <v>28</v>
      </c>
      <c r="F1035" s="635"/>
    </row>
    <row r="1036" spans="1:6">
      <c r="A1036" s="545"/>
      <c r="B1036" s="266" t="s">
        <v>198</v>
      </c>
      <c r="C1036" s="538">
        <v>5.2</v>
      </c>
      <c r="D1036" s="599" t="s">
        <v>15</v>
      </c>
      <c r="E1036" s="32" t="s">
        <v>28</v>
      </c>
      <c r="F1036" s="635"/>
    </row>
    <row r="1037" spans="1:6">
      <c r="A1037" s="545"/>
      <c r="B1037" s="266" t="s">
        <v>199</v>
      </c>
      <c r="C1037" s="538">
        <v>5.2</v>
      </c>
      <c r="D1037" s="599" t="s">
        <v>15</v>
      </c>
      <c r="E1037" s="32" t="s">
        <v>28</v>
      </c>
      <c r="F1037" s="635"/>
    </row>
    <row r="1038" spans="1:6">
      <c r="A1038" s="545"/>
      <c r="B1038" s="266" t="s">
        <v>200</v>
      </c>
      <c r="C1038" s="538">
        <v>5.2</v>
      </c>
      <c r="D1038" s="599" t="s">
        <v>15</v>
      </c>
      <c r="E1038" s="32" t="s">
        <v>28</v>
      </c>
      <c r="F1038" s="635"/>
    </row>
    <row r="1039" spans="1:6">
      <c r="A1039" s="545"/>
      <c r="B1039" s="266" t="s">
        <v>201</v>
      </c>
      <c r="C1039" s="538">
        <v>5.2</v>
      </c>
      <c r="D1039" s="599" t="s">
        <v>15</v>
      </c>
      <c r="E1039" s="32" t="s">
        <v>28</v>
      </c>
      <c r="F1039" s="635"/>
    </row>
    <row r="1040" spans="1:6">
      <c r="A1040" s="545"/>
      <c r="B1040" s="266" t="s">
        <v>202</v>
      </c>
      <c r="C1040" s="538">
        <v>13.5</v>
      </c>
      <c r="D1040" s="599" t="s">
        <v>15</v>
      </c>
      <c r="E1040" s="32" t="s">
        <v>28</v>
      </c>
      <c r="F1040" s="635"/>
    </row>
    <row r="1041" spans="1:6">
      <c r="A1041" s="545"/>
      <c r="B1041" s="266" t="s">
        <v>203</v>
      </c>
      <c r="C1041" s="538">
        <v>12.5</v>
      </c>
      <c r="D1041" s="599" t="s">
        <v>15</v>
      </c>
      <c r="E1041" s="32" t="s">
        <v>28</v>
      </c>
      <c r="F1041" s="635"/>
    </row>
    <row r="1042" spans="1:6">
      <c r="A1042" s="545"/>
      <c r="B1042" s="266" t="s">
        <v>204</v>
      </c>
      <c r="C1042" s="538">
        <v>17.899999999999999</v>
      </c>
      <c r="D1042" s="599" t="s">
        <v>15</v>
      </c>
      <c r="E1042" s="32" t="s">
        <v>28</v>
      </c>
      <c r="F1042" s="635"/>
    </row>
    <row r="1043" spans="1:6">
      <c r="A1043" s="545"/>
      <c r="B1043" s="266" t="s">
        <v>205</v>
      </c>
      <c r="C1043" s="538">
        <v>20.7</v>
      </c>
      <c r="D1043" s="599" t="s">
        <v>15</v>
      </c>
      <c r="E1043" s="32" t="s">
        <v>28</v>
      </c>
      <c r="F1043" s="635"/>
    </row>
    <row r="1044" spans="1:6">
      <c r="A1044" s="545"/>
      <c r="B1044" s="266" t="s">
        <v>206</v>
      </c>
      <c r="C1044" s="538">
        <v>7.5</v>
      </c>
      <c r="D1044" s="42" t="s">
        <v>15</v>
      </c>
      <c r="E1044" s="91" t="s">
        <v>28</v>
      </c>
      <c r="F1044" s="635"/>
    </row>
    <row r="1045" spans="1:6">
      <c r="A1045" s="9" t="s">
        <v>207</v>
      </c>
      <c r="B1045" s="281" t="s">
        <v>38</v>
      </c>
      <c r="C1045" s="39">
        <f>SUM(C1046:C1057)</f>
        <v>1046.9000000000001</v>
      </c>
      <c r="D1045" s="60" t="s">
        <v>72</v>
      </c>
      <c r="E1045" s="589" t="s">
        <v>9</v>
      </c>
      <c r="F1045" s="634" t="s">
        <v>208</v>
      </c>
    </row>
    <row r="1046" spans="1:6">
      <c r="A1046" s="545"/>
      <c r="B1046" s="537" t="s">
        <v>209</v>
      </c>
      <c r="C1046" s="541">
        <v>193</v>
      </c>
      <c r="D1046" s="543" t="s">
        <v>210</v>
      </c>
      <c r="E1046" s="603" t="s">
        <v>18</v>
      </c>
      <c r="F1046" s="635"/>
    </row>
    <row r="1047" spans="1:6" ht="25.5">
      <c r="A1047" s="545"/>
      <c r="B1047" s="537" t="s">
        <v>211</v>
      </c>
      <c r="C1047" s="541">
        <v>46.4</v>
      </c>
      <c r="D1047" s="543" t="s">
        <v>15</v>
      </c>
      <c r="E1047" s="603" t="s">
        <v>18</v>
      </c>
      <c r="F1047" s="635"/>
    </row>
    <row r="1048" spans="1:6">
      <c r="A1048" s="545"/>
      <c r="B1048" s="537" t="s">
        <v>17</v>
      </c>
      <c r="C1048" s="541">
        <v>195.9</v>
      </c>
      <c r="D1048" s="543" t="s">
        <v>15</v>
      </c>
      <c r="E1048" s="603" t="s">
        <v>18</v>
      </c>
      <c r="F1048" s="635"/>
    </row>
    <row r="1049" spans="1:6">
      <c r="A1049" s="545"/>
      <c r="B1049" s="537" t="s">
        <v>36</v>
      </c>
      <c r="C1049" s="541">
        <v>385.9</v>
      </c>
      <c r="D1049" s="543" t="s">
        <v>15</v>
      </c>
      <c r="E1049" s="603" t="s">
        <v>18</v>
      </c>
      <c r="F1049" s="635"/>
    </row>
    <row r="1050" spans="1:6">
      <c r="A1050" s="545"/>
      <c r="B1050" s="537" t="s">
        <v>39</v>
      </c>
      <c r="C1050" s="541">
        <v>111.7</v>
      </c>
      <c r="D1050" s="543" t="s">
        <v>15</v>
      </c>
      <c r="E1050" s="603" t="s">
        <v>18</v>
      </c>
      <c r="F1050" s="635"/>
    </row>
    <row r="1051" spans="1:6">
      <c r="A1051" s="545"/>
      <c r="B1051" s="537" t="s">
        <v>47</v>
      </c>
      <c r="C1051" s="541">
        <v>25.7</v>
      </c>
      <c r="D1051" s="543" t="s">
        <v>20</v>
      </c>
      <c r="E1051" s="603" t="s">
        <v>18</v>
      </c>
      <c r="F1051" s="635"/>
    </row>
    <row r="1052" spans="1:6">
      <c r="A1052" s="545"/>
      <c r="B1052" s="537" t="s">
        <v>21</v>
      </c>
      <c r="C1052" s="541">
        <v>9</v>
      </c>
      <c r="D1052" s="543" t="s">
        <v>22</v>
      </c>
      <c r="E1052" s="603" t="s">
        <v>18</v>
      </c>
      <c r="F1052" s="635"/>
    </row>
    <row r="1053" spans="1:6">
      <c r="A1053" s="545"/>
      <c r="B1053" s="537"/>
      <c r="C1053" s="541"/>
      <c r="D1053" s="543" t="s">
        <v>67</v>
      </c>
      <c r="E1053" s="603" t="s">
        <v>68</v>
      </c>
      <c r="F1053" s="635"/>
    </row>
    <row r="1054" spans="1:6">
      <c r="A1054" s="545"/>
      <c r="B1054" s="537" t="s">
        <v>24</v>
      </c>
      <c r="C1054" s="541">
        <v>8.4</v>
      </c>
      <c r="D1054" s="543" t="s">
        <v>27</v>
      </c>
      <c r="E1054" s="603" t="s">
        <v>18</v>
      </c>
      <c r="F1054" s="635"/>
    </row>
    <row r="1055" spans="1:6">
      <c r="A1055" s="545"/>
      <c r="B1055" s="537" t="s">
        <v>158</v>
      </c>
      <c r="C1055" s="541">
        <v>56.3</v>
      </c>
      <c r="D1055" s="543" t="s">
        <v>15</v>
      </c>
      <c r="E1055" s="603" t="s">
        <v>18</v>
      </c>
      <c r="F1055" s="635"/>
    </row>
    <row r="1056" spans="1:6">
      <c r="A1056" s="545"/>
      <c r="B1056" s="537" t="s">
        <v>174</v>
      </c>
      <c r="C1056" s="541">
        <v>4.8</v>
      </c>
      <c r="D1056" s="543" t="s">
        <v>27</v>
      </c>
      <c r="E1056" s="603" t="s">
        <v>28</v>
      </c>
      <c r="F1056" s="635"/>
    </row>
    <row r="1057" spans="1:11" s="96" customFormat="1" ht="15">
      <c r="A1057" s="545"/>
      <c r="B1057" s="537" t="s">
        <v>36</v>
      </c>
      <c r="C1057" s="541">
        <v>9.8000000000000007</v>
      </c>
      <c r="D1057" s="543" t="s">
        <v>27</v>
      </c>
      <c r="E1057" s="603" t="s">
        <v>178</v>
      </c>
      <c r="F1057" s="635"/>
      <c r="G1057" s="441"/>
    </row>
    <row r="1058" spans="1:11" s="96" customFormat="1" ht="15.75">
      <c r="A1058" s="434"/>
      <c r="B1058" s="435" t="s">
        <v>663</v>
      </c>
      <c r="C1058" s="461">
        <f>C863+C892+C919+C946+C968+C978+C1019</f>
        <v>6771</v>
      </c>
      <c r="D1058" s="710"/>
      <c r="E1058" s="711"/>
      <c r="F1058" s="463"/>
    </row>
    <row r="1059" spans="1:11" s="96" customFormat="1" ht="15.75">
      <c r="A1059" s="712" t="s">
        <v>664</v>
      </c>
      <c r="B1059" s="713"/>
      <c r="C1059" s="713"/>
      <c r="D1059" s="713"/>
      <c r="E1059" s="713"/>
      <c r="F1059" s="714"/>
    </row>
    <row r="1060" spans="1:11">
      <c r="A1060" s="715" t="s">
        <v>681</v>
      </c>
      <c r="B1060" s="716"/>
      <c r="C1060" s="716"/>
      <c r="D1060" s="716"/>
      <c r="E1060" s="716"/>
      <c r="F1060" s="717"/>
    </row>
    <row r="1061" spans="1:11">
      <c r="A1061" s="524">
        <v>1</v>
      </c>
      <c r="B1061" s="118" t="s">
        <v>212</v>
      </c>
      <c r="C1061" s="464">
        <f>C1062+C1073</f>
        <v>798.7</v>
      </c>
      <c r="D1061" s="63"/>
      <c r="E1061" s="595"/>
      <c r="F1061" s="708" t="s">
        <v>213</v>
      </c>
    </row>
    <row r="1062" spans="1:11">
      <c r="A1062" s="524" t="s">
        <v>214</v>
      </c>
      <c r="B1062" s="50" t="s">
        <v>12</v>
      </c>
      <c r="C1062" s="78">
        <f>+C1063+C1064+C1066+C1067+C1068+C1069+C1070+C1071+C1072</f>
        <v>294.20000000000005</v>
      </c>
      <c r="D1062" s="60" t="s">
        <v>72</v>
      </c>
      <c r="E1062" s="589" t="s">
        <v>9</v>
      </c>
      <c r="F1062" s="706"/>
    </row>
    <row r="1063" spans="1:11">
      <c r="A1063" s="524" t="s">
        <v>11</v>
      </c>
      <c r="B1063" s="51" t="s">
        <v>215</v>
      </c>
      <c r="C1063" s="524">
        <v>45.6</v>
      </c>
      <c r="D1063" s="52" t="s">
        <v>15</v>
      </c>
      <c r="E1063" s="593" t="s">
        <v>18</v>
      </c>
      <c r="F1063" s="706"/>
    </row>
    <row r="1064" spans="1:11">
      <c r="A1064" s="524"/>
      <c r="B1064" s="51" t="s">
        <v>21</v>
      </c>
      <c r="C1064" s="524">
        <v>15.5</v>
      </c>
      <c r="D1064" s="52" t="s">
        <v>22</v>
      </c>
      <c r="E1064" s="593" t="s">
        <v>18</v>
      </c>
      <c r="F1064" s="706"/>
    </row>
    <row r="1065" spans="1:11">
      <c r="A1065" s="524"/>
      <c r="B1065" s="51" t="s">
        <v>214</v>
      </c>
      <c r="C1065" s="524"/>
      <c r="D1065" s="52" t="s">
        <v>67</v>
      </c>
      <c r="E1065" s="593" t="s">
        <v>68</v>
      </c>
      <c r="F1065" s="706"/>
    </row>
    <row r="1066" spans="1:11">
      <c r="A1066" s="524"/>
      <c r="B1066" s="51" t="s">
        <v>45</v>
      </c>
      <c r="C1066" s="524">
        <v>15.3</v>
      </c>
      <c r="D1066" s="52" t="s">
        <v>15</v>
      </c>
      <c r="E1066" s="593" t="s">
        <v>28</v>
      </c>
      <c r="F1066" s="706"/>
    </row>
    <row r="1067" spans="1:11">
      <c r="A1067" s="524"/>
      <c r="B1067" s="51" t="s">
        <v>73</v>
      </c>
      <c r="C1067" s="524">
        <v>5.8</v>
      </c>
      <c r="D1067" s="52" t="s">
        <v>15</v>
      </c>
      <c r="E1067" s="593" t="s">
        <v>18</v>
      </c>
      <c r="F1067" s="706"/>
    </row>
    <row r="1068" spans="1:11">
      <c r="A1068" s="524"/>
      <c r="B1068" s="51" t="s">
        <v>216</v>
      </c>
      <c r="C1068" s="524">
        <v>11.9</v>
      </c>
      <c r="D1068" s="52" t="s">
        <v>15</v>
      </c>
      <c r="E1068" s="593" t="s">
        <v>18</v>
      </c>
      <c r="F1068" s="706"/>
    </row>
    <row r="1069" spans="1:11">
      <c r="A1069" s="524"/>
      <c r="B1069" s="51" t="s">
        <v>39</v>
      </c>
      <c r="C1069" s="524">
        <v>53.1</v>
      </c>
      <c r="D1069" s="52" t="s">
        <v>15</v>
      </c>
      <c r="E1069" s="593" t="s">
        <v>18</v>
      </c>
      <c r="F1069" s="706"/>
      <c r="K1069" s="462"/>
    </row>
    <row r="1070" spans="1:11">
      <c r="A1070" s="524"/>
      <c r="B1070" s="51" t="s">
        <v>36</v>
      </c>
      <c r="C1070" s="524">
        <v>69.400000000000006</v>
      </c>
      <c r="D1070" s="52" t="s">
        <v>15</v>
      </c>
      <c r="E1070" s="593" t="s">
        <v>42</v>
      </c>
      <c r="F1070" s="706"/>
    </row>
    <row r="1071" spans="1:11">
      <c r="A1071" s="524"/>
      <c r="B1071" s="51" t="s">
        <v>101</v>
      </c>
      <c r="C1071" s="524">
        <v>67</v>
      </c>
      <c r="D1071" s="52" t="s">
        <v>15</v>
      </c>
      <c r="E1071" s="593" t="s">
        <v>18</v>
      </c>
      <c r="F1071" s="706"/>
    </row>
    <row r="1072" spans="1:11">
      <c r="A1072" s="524"/>
      <c r="B1072" s="51" t="s">
        <v>130</v>
      </c>
      <c r="C1072" s="524">
        <v>10.6</v>
      </c>
      <c r="D1072" s="52" t="s">
        <v>15</v>
      </c>
      <c r="E1072" s="593" t="s">
        <v>18</v>
      </c>
      <c r="F1072" s="706"/>
    </row>
    <row r="1073" spans="1:6">
      <c r="A1073" s="524"/>
      <c r="B1073" s="50" t="s">
        <v>30</v>
      </c>
      <c r="C1073" s="78">
        <f>+C1074+C1075+C1076+C1077+C1078+C1079+C1080</f>
        <v>504.49999999999994</v>
      </c>
      <c r="D1073" s="60" t="s">
        <v>72</v>
      </c>
      <c r="E1073" s="589" t="s">
        <v>9</v>
      </c>
      <c r="F1073" s="706"/>
    </row>
    <row r="1074" spans="1:6">
      <c r="A1074" s="524" t="s">
        <v>29</v>
      </c>
      <c r="B1074" s="51" t="s">
        <v>36</v>
      </c>
      <c r="C1074" s="524">
        <v>282.5</v>
      </c>
      <c r="D1074" s="52" t="s">
        <v>15</v>
      </c>
      <c r="E1074" s="593" t="s">
        <v>18</v>
      </c>
      <c r="F1074" s="706"/>
    </row>
    <row r="1075" spans="1:6">
      <c r="A1075" s="524"/>
      <c r="B1075" s="51" t="s">
        <v>217</v>
      </c>
      <c r="C1075" s="524">
        <v>14.7</v>
      </c>
      <c r="D1075" s="52" t="s">
        <v>15</v>
      </c>
      <c r="E1075" s="593" t="s">
        <v>18</v>
      </c>
      <c r="F1075" s="706"/>
    </row>
    <row r="1076" spans="1:6">
      <c r="A1076" s="524"/>
      <c r="B1076" s="51" t="s">
        <v>39</v>
      </c>
      <c r="C1076" s="524">
        <v>98.1</v>
      </c>
      <c r="D1076" s="52" t="s">
        <v>15</v>
      </c>
      <c r="E1076" s="593" t="s">
        <v>18</v>
      </c>
      <c r="F1076" s="706"/>
    </row>
    <row r="1077" spans="1:6">
      <c r="A1077" s="524"/>
      <c r="B1077" s="51" t="s">
        <v>45</v>
      </c>
      <c r="C1077" s="524">
        <v>15.3</v>
      </c>
      <c r="D1077" s="52" t="s">
        <v>15</v>
      </c>
      <c r="E1077" s="593" t="s">
        <v>42</v>
      </c>
      <c r="F1077" s="706"/>
    </row>
    <row r="1078" spans="1:6">
      <c r="A1078" s="524"/>
      <c r="B1078" s="51" t="s">
        <v>130</v>
      </c>
      <c r="C1078" s="524">
        <v>31.8</v>
      </c>
      <c r="D1078" s="52" t="s">
        <v>15</v>
      </c>
      <c r="E1078" s="593" t="s">
        <v>18</v>
      </c>
      <c r="F1078" s="706"/>
    </row>
    <row r="1079" spans="1:6">
      <c r="A1079" s="524"/>
      <c r="B1079" s="51" t="s">
        <v>218</v>
      </c>
      <c r="C1079" s="524">
        <v>38.4</v>
      </c>
      <c r="D1079" s="52" t="s">
        <v>15</v>
      </c>
      <c r="E1079" s="593" t="s">
        <v>18</v>
      </c>
      <c r="F1079" s="706"/>
    </row>
    <row r="1080" spans="1:6">
      <c r="A1080" s="532"/>
      <c r="B1080" s="53" t="s">
        <v>45</v>
      </c>
      <c r="C1080" s="532">
        <v>23.7</v>
      </c>
      <c r="D1080" s="54" t="s">
        <v>15</v>
      </c>
      <c r="E1080" s="594" t="s">
        <v>28</v>
      </c>
      <c r="F1080" s="707"/>
    </row>
    <row r="1081" spans="1:6">
      <c r="A1081" s="524">
        <v>2</v>
      </c>
      <c r="B1081" s="125" t="s">
        <v>219</v>
      </c>
      <c r="C1081" s="465">
        <f>+C1082+C1094</f>
        <v>752.8</v>
      </c>
      <c r="D1081" s="533"/>
      <c r="E1081" s="589"/>
      <c r="F1081" s="706" t="s">
        <v>220</v>
      </c>
    </row>
    <row r="1082" spans="1:6">
      <c r="A1082" s="524" t="s">
        <v>214</v>
      </c>
      <c r="B1082" s="79" t="s">
        <v>12</v>
      </c>
      <c r="C1082" s="49">
        <f>+C1083+C1084+C1086+C1087+C1088+C1089+C1090+C1091+C1092+C1093</f>
        <v>296</v>
      </c>
      <c r="D1082" s="60" t="s">
        <v>72</v>
      </c>
      <c r="E1082" s="589" t="s">
        <v>9</v>
      </c>
      <c r="F1082" s="706"/>
    </row>
    <row r="1083" spans="1:6">
      <c r="A1083" s="524" t="s">
        <v>11</v>
      </c>
      <c r="B1083" s="80" t="s">
        <v>215</v>
      </c>
      <c r="C1083" s="63">
        <v>17</v>
      </c>
      <c r="D1083" s="60" t="s">
        <v>15</v>
      </c>
      <c r="E1083" s="589" t="s">
        <v>18</v>
      </c>
      <c r="F1083" s="706"/>
    </row>
    <row r="1084" spans="1:6">
      <c r="A1084" s="524"/>
      <c r="B1084" s="80" t="s">
        <v>21</v>
      </c>
      <c r="C1084" s="63">
        <v>6.7</v>
      </c>
      <c r="D1084" s="60" t="s">
        <v>22</v>
      </c>
      <c r="E1084" s="589" t="s">
        <v>18</v>
      </c>
      <c r="F1084" s="706"/>
    </row>
    <row r="1085" spans="1:6">
      <c r="A1085" s="524"/>
      <c r="B1085" s="80" t="s">
        <v>214</v>
      </c>
      <c r="C1085" s="63"/>
      <c r="D1085" s="60" t="s">
        <v>67</v>
      </c>
      <c r="E1085" s="589" t="s">
        <v>68</v>
      </c>
      <c r="F1085" s="706"/>
    </row>
    <row r="1086" spans="1:6">
      <c r="A1086" s="524"/>
      <c r="B1086" s="80" t="s">
        <v>39</v>
      </c>
      <c r="C1086" s="63">
        <v>60.8</v>
      </c>
      <c r="D1086" s="60" t="s">
        <v>15</v>
      </c>
      <c r="E1086" s="589" t="s">
        <v>18</v>
      </c>
      <c r="F1086" s="706"/>
    </row>
    <row r="1087" spans="1:6">
      <c r="A1087" s="524"/>
      <c r="B1087" s="80" t="s">
        <v>36</v>
      </c>
      <c r="C1087" s="63">
        <v>101.7</v>
      </c>
      <c r="D1087" s="60" t="s">
        <v>15</v>
      </c>
      <c r="E1087" s="589" t="s">
        <v>18</v>
      </c>
      <c r="F1087" s="706"/>
    </row>
    <row r="1088" spans="1:6">
      <c r="A1088" s="524"/>
      <c r="B1088" s="80" t="s">
        <v>36</v>
      </c>
      <c r="C1088" s="63">
        <v>37.200000000000003</v>
      </c>
      <c r="D1088" s="60" t="s">
        <v>15</v>
      </c>
      <c r="E1088" s="589" t="s">
        <v>42</v>
      </c>
      <c r="F1088" s="706"/>
    </row>
    <row r="1089" spans="1:6">
      <c r="A1089" s="524"/>
      <c r="B1089" s="80" t="s">
        <v>36</v>
      </c>
      <c r="C1089" s="63">
        <v>6.4</v>
      </c>
      <c r="D1089" s="60" t="s">
        <v>15</v>
      </c>
      <c r="E1089" s="589" t="s">
        <v>28</v>
      </c>
      <c r="F1089" s="706"/>
    </row>
    <row r="1090" spans="1:6">
      <c r="A1090" s="524"/>
      <c r="B1090" s="80" t="s">
        <v>218</v>
      </c>
      <c r="C1090" s="63">
        <v>38.700000000000003</v>
      </c>
      <c r="D1090" s="60" t="s">
        <v>15</v>
      </c>
      <c r="E1090" s="589" t="s">
        <v>18</v>
      </c>
      <c r="F1090" s="706"/>
    </row>
    <row r="1091" spans="1:6">
      <c r="A1091" s="524"/>
      <c r="B1091" s="80" t="s">
        <v>221</v>
      </c>
      <c r="C1091" s="63">
        <v>10.1</v>
      </c>
      <c r="D1091" s="60" t="s">
        <v>15</v>
      </c>
      <c r="E1091" s="589" t="s">
        <v>18</v>
      </c>
      <c r="F1091" s="706"/>
    </row>
    <row r="1092" spans="1:6">
      <c r="A1092" s="524"/>
      <c r="B1092" s="80" t="s">
        <v>130</v>
      </c>
      <c r="C1092" s="63">
        <v>8.4</v>
      </c>
      <c r="D1092" s="60" t="s">
        <v>15</v>
      </c>
      <c r="E1092" s="589" t="s">
        <v>18</v>
      </c>
      <c r="F1092" s="706"/>
    </row>
    <row r="1093" spans="1:6">
      <c r="A1093" s="524"/>
      <c r="B1093" s="80" t="s">
        <v>222</v>
      </c>
      <c r="C1093" s="63">
        <v>9</v>
      </c>
      <c r="D1093" s="60" t="s">
        <v>15</v>
      </c>
      <c r="E1093" s="589" t="s">
        <v>18</v>
      </c>
      <c r="F1093" s="706"/>
    </row>
    <row r="1094" spans="1:6">
      <c r="A1094" s="524"/>
      <c r="B1094" s="79" t="s">
        <v>30</v>
      </c>
      <c r="C1094" s="49">
        <f>+C1095+C1097+C1099+C1100+C1101+C1102+C1103</f>
        <v>456.8</v>
      </c>
      <c r="D1094" s="60" t="s">
        <v>72</v>
      </c>
      <c r="E1094" s="589" t="s">
        <v>9</v>
      </c>
      <c r="F1094" s="706"/>
    </row>
    <row r="1095" spans="1:6">
      <c r="A1095" s="524" t="s">
        <v>29</v>
      </c>
      <c r="B1095" s="80" t="s">
        <v>73</v>
      </c>
      <c r="C1095" s="63">
        <v>32.5</v>
      </c>
      <c r="D1095" s="60" t="s">
        <v>15</v>
      </c>
      <c r="E1095" s="589" t="s">
        <v>28</v>
      </c>
      <c r="F1095" s="706"/>
    </row>
    <row r="1096" spans="1:6">
      <c r="A1096" s="524"/>
      <c r="B1096" s="80"/>
      <c r="C1096" s="51"/>
      <c r="D1096" s="60"/>
      <c r="E1096" s="589"/>
      <c r="F1096" s="706"/>
    </row>
    <row r="1097" spans="1:6">
      <c r="A1097" s="524"/>
      <c r="B1097" s="80" t="s">
        <v>21</v>
      </c>
      <c r="C1097" s="63">
        <v>3.8</v>
      </c>
      <c r="D1097" s="60" t="s">
        <v>22</v>
      </c>
      <c r="E1097" s="589" t="s">
        <v>18</v>
      </c>
      <c r="F1097" s="706"/>
    </row>
    <row r="1098" spans="1:6">
      <c r="A1098" s="524"/>
      <c r="B1098" s="80"/>
      <c r="C1098" s="63"/>
      <c r="D1098" s="60" t="s">
        <v>67</v>
      </c>
      <c r="E1098" s="589" t="s">
        <v>68</v>
      </c>
      <c r="F1098" s="706"/>
    </row>
    <row r="1099" spans="1:6">
      <c r="A1099" s="524"/>
      <c r="B1099" s="80" t="s">
        <v>34</v>
      </c>
      <c r="C1099" s="63">
        <v>67.599999999999994</v>
      </c>
      <c r="D1099" s="60" t="s">
        <v>15</v>
      </c>
      <c r="E1099" s="589" t="s">
        <v>42</v>
      </c>
      <c r="F1099" s="706"/>
    </row>
    <row r="1100" spans="1:6">
      <c r="A1100" s="524"/>
      <c r="B1100" s="80" t="s">
        <v>217</v>
      </c>
      <c r="C1100" s="63">
        <v>18</v>
      </c>
      <c r="D1100" s="60" t="s">
        <v>67</v>
      </c>
      <c r="E1100" s="589" t="s">
        <v>18</v>
      </c>
      <c r="F1100" s="706"/>
    </row>
    <row r="1101" spans="1:6">
      <c r="A1101" s="524"/>
      <c r="B1101" s="80" t="s">
        <v>19</v>
      </c>
      <c r="C1101" s="63">
        <v>17.100000000000001</v>
      </c>
      <c r="D1101" s="60" t="s">
        <v>15</v>
      </c>
      <c r="E1101" s="589" t="s">
        <v>18</v>
      </c>
      <c r="F1101" s="706"/>
    </row>
    <row r="1102" spans="1:6">
      <c r="A1102" s="524"/>
      <c r="B1102" s="80" t="s">
        <v>39</v>
      </c>
      <c r="C1102" s="63">
        <v>50.5</v>
      </c>
      <c r="D1102" s="60" t="s">
        <v>15</v>
      </c>
      <c r="E1102" s="589" t="s">
        <v>18</v>
      </c>
      <c r="F1102" s="706"/>
    </row>
    <row r="1103" spans="1:6">
      <c r="A1103" s="532"/>
      <c r="B1103" s="556" t="s">
        <v>36</v>
      </c>
      <c r="C1103" s="65">
        <v>267.3</v>
      </c>
      <c r="D1103" s="61" t="s">
        <v>15</v>
      </c>
      <c r="E1103" s="590" t="s">
        <v>18</v>
      </c>
      <c r="F1103" s="707"/>
    </row>
    <row r="1104" spans="1:6">
      <c r="A1104" s="524">
        <v>3</v>
      </c>
      <c r="B1104" s="118" t="s">
        <v>223</v>
      </c>
      <c r="C1104" s="464">
        <f>+C1105</f>
        <v>346.70000000000005</v>
      </c>
      <c r="D1104" s="63"/>
      <c r="E1104" s="595"/>
      <c r="F1104" s="708" t="s">
        <v>976</v>
      </c>
    </row>
    <row r="1105" spans="1:6">
      <c r="A1105" s="524" t="s">
        <v>214</v>
      </c>
      <c r="B1105" s="50" t="s">
        <v>12</v>
      </c>
      <c r="C1105" s="78">
        <f>+C1106+C1107+C1109+C1110+C1111+C1112+C1113+C1114+C1115</f>
        <v>346.70000000000005</v>
      </c>
      <c r="D1105" s="60" t="s">
        <v>72</v>
      </c>
      <c r="E1105" s="589" t="s">
        <v>9</v>
      </c>
      <c r="F1105" s="706"/>
    </row>
    <row r="1106" spans="1:6">
      <c r="A1106" s="524" t="s">
        <v>11</v>
      </c>
      <c r="B1106" s="51" t="s">
        <v>215</v>
      </c>
      <c r="C1106" s="524">
        <v>34.200000000000003</v>
      </c>
      <c r="D1106" s="52" t="s">
        <v>15</v>
      </c>
      <c r="E1106" s="593" t="s">
        <v>18</v>
      </c>
      <c r="F1106" s="706"/>
    </row>
    <row r="1107" spans="1:6">
      <c r="A1107" s="524"/>
      <c r="B1107" s="51" t="s">
        <v>21</v>
      </c>
      <c r="C1107" s="524">
        <v>6.1</v>
      </c>
      <c r="D1107" s="52" t="s">
        <v>22</v>
      </c>
      <c r="E1107" s="593" t="s">
        <v>18</v>
      </c>
      <c r="F1107" s="706"/>
    </row>
    <row r="1108" spans="1:6">
      <c r="A1108" s="524"/>
      <c r="B1108" s="51" t="s">
        <v>214</v>
      </c>
      <c r="C1108" s="524"/>
      <c r="D1108" s="52" t="s">
        <v>67</v>
      </c>
      <c r="E1108" s="593" t="s">
        <v>68</v>
      </c>
      <c r="F1108" s="706"/>
    </row>
    <row r="1109" spans="1:6">
      <c r="A1109" s="524"/>
      <c r="B1109" s="51" t="s">
        <v>217</v>
      </c>
      <c r="C1109" s="524">
        <v>15</v>
      </c>
      <c r="D1109" s="52" t="s">
        <v>15</v>
      </c>
      <c r="E1109" s="593" t="s">
        <v>18</v>
      </c>
      <c r="F1109" s="706"/>
    </row>
    <row r="1110" spans="1:6">
      <c r="A1110" s="524"/>
      <c r="B1110" s="51" t="s">
        <v>45</v>
      </c>
      <c r="C1110" s="524">
        <v>5</v>
      </c>
      <c r="D1110" s="52" t="s">
        <v>15</v>
      </c>
      <c r="E1110" s="593" t="s">
        <v>18</v>
      </c>
      <c r="F1110" s="706"/>
    </row>
    <row r="1111" spans="1:6">
      <c r="A1111" s="524"/>
      <c r="B1111" s="51" t="s">
        <v>39</v>
      </c>
      <c r="C1111" s="524">
        <v>105.5</v>
      </c>
      <c r="D1111" s="52" t="s">
        <v>15</v>
      </c>
      <c r="E1111" s="593" t="s">
        <v>18</v>
      </c>
      <c r="F1111" s="706"/>
    </row>
    <row r="1112" spans="1:6">
      <c r="A1112" s="524"/>
      <c r="B1112" s="51" t="s">
        <v>36</v>
      </c>
      <c r="C1112" s="524">
        <v>139</v>
      </c>
      <c r="D1112" s="52" t="s">
        <v>15</v>
      </c>
      <c r="E1112" s="593" t="s">
        <v>18</v>
      </c>
      <c r="F1112" s="706"/>
    </row>
    <row r="1113" spans="1:6">
      <c r="A1113" s="524"/>
      <c r="B1113" s="51" t="s">
        <v>19</v>
      </c>
      <c r="C1113" s="524">
        <v>11</v>
      </c>
      <c r="D1113" s="52" t="s">
        <v>15</v>
      </c>
      <c r="E1113" s="593" t="s">
        <v>18</v>
      </c>
      <c r="F1113" s="706"/>
    </row>
    <row r="1114" spans="1:6">
      <c r="A1114" s="524"/>
      <c r="B1114" s="51" t="s">
        <v>130</v>
      </c>
      <c r="C1114" s="524">
        <v>8.8000000000000007</v>
      </c>
      <c r="D1114" s="52" t="s">
        <v>15</v>
      </c>
      <c r="E1114" s="593" t="s">
        <v>18</v>
      </c>
      <c r="F1114" s="706"/>
    </row>
    <row r="1115" spans="1:6">
      <c r="A1115" s="524"/>
      <c r="B1115" s="51" t="s">
        <v>101</v>
      </c>
      <c r="C1115" s="532">
        <v>22.1</v>
      </c>
      <c r="D1115" s="52" t="s">
        <v>15</v>
      </c>
      <c r="E1115" s="594" t="s">
        <v>42</v>
      </c>
      <c r="F1115" s="706"/>
    </row>
    <row r="1116" spans="1:6">
      <c r="A1116" s="533"/>
      <c r="B1116" s="125" t="s">
        <v>225</v>
      </c>
      <c r="C1116" s="464">
        <f>C1126+C1131+C1117</f>
        <v>777.3</v>
      </c>
      <c r="D1116" s="533"/>
      <c r="E1116" s="595"/>
      <c r="F1116" s="533"/>
    </row>
    <row r="1117" spans="1:6">
      <c r="A1117" s="204"/>
      <c r="B1117" s="79" t="s">
        <v>12</v>
      </c>
      <c r="C1117" s="58">
        <f>C1118+C1119+C1120+C1121+C1122+C1123+C1124+C1125</f>
        <v>207.4</v>
      </c>
      <c r="D1117" s="60" t="s">
        <v>72</v>
      </c>
      <c r="E1117" s="589" t="s">
        <v>9</v>
      </c>
      <c r="F1117" s="524"/>
    </row>
    <row r="1118" spans="1:6">
      <c r="A1118" s="59" t="s">
        <v>11</v>
      </c>
      <c r="B1118" s="66" t="s">
        <v>226</v>
      </c>
      <c r="C1118" s="59">
        <v>10</v>
      </c>
      <c r="D1118" s="60" t="s">
        <v>15</v>
      </c>
      <c r="E1118" s="593" t="s">
        <v>18</v>
      </c>
      <c r="F1118" s="524"/>
    </row>
    <row r="1119" spans="1:6">
      <c r="A1119" s="59"/>
      <c r="B1119" s="66" t="s">
        <v>227</v>
      </c>
      <c r="C1119" s="59">
        <v>5.8</v>
      </c>
      <c r="D1119" s="60" t="s">
        <v>15</v>
      </c>
      <c r="E1119" s="593" t="s">
        <v>18</v>
      </c>
      <c r="F1119" s="524"/>
    </row>
    <row r="1120" spans="1:6">
      <c r="A1120" s="59"/>
      <c r="B1120" s="66" t="s">
        <v>228</v>
      </c>
      <c r="C1120" s="59">
        <v>45.7</v>
      </c>
      <c r="D1120" s="60" t="s">
        <v>15</v>
      </c>
      <c r="E1120" s="593" t="s">
        <v>18</v>
      </c>
      <c r="F1120" s="524"/>
    </row>
    <row r="1121" spans="1:6">
      <c r="A1121" s="59"/>
      <c r="B1121" s="66" t="s">
        <v>229</v>
      </c>
      <c r="C1121" s="59">
        <v>23.6</v>
      </c>
      <c r="D1121" s="60" t="s">
        <v>15</v>
      </c>
      <c r="E1121" s="593" t="s">
        <v>18</v>
      </c>
      <c r="F1121" s="524"/>
    </row>
    <row r="1122" spans="1:6">
      <c r="A1122" s="59"/>
      <c r="B1122" s="66" t="s">
        <v>230</v>
      </c>
      <c r="C1122" s="59">
        <v>23.4</v>
      </c>
      <c r="D1122" s="60" t="s">
        <v>15</v>
      </c>
      <c r="E1122" s="593" t="s">
        <v>42</v>
      </c>
      <c r="F1122" s="524"/>
    </row>
    <row r="1123" spans="1:6">
      <c r="A1123" s="59"/>
      <c r="B1123" s="66" t="s">
        <v>231</v>
      </c>
      <c r="C1123" s="59">
        <v>5.4</v>
      </c>
      <c r="D1123" s="60" t="s">
        <v>15</v>
      </c>
      <c r="E1123" s="593" t="s">
        <v>18</v>
      </c>
      <c r="F1123" s="524" t="s">
        <v>232</v>
      </c>
    </row>
    <row r="1124" spans="1:6">
      <c r="A1124" s="59"/>
      <c r="B1124" s="66" t="s">
        <v>233</v>
      </c>
      <c r="C1124" s="59">
        <v>8.3000000000000007</v>
      </c>
      <c r="D1124" s="60" t="s">
        <v>15</v>
      </c>
      <c r="E1124" s="593" t="s">
        <v>18</v>
      </c>
      <c r="F1124" s="524"/>
    </row>
    <row r="1125" spans="1:6" ht="25.5">
      <c r="A1125" s="59"/>
      <c r="B1125" s="66" t="s">
        <v>234</v>
      </c>
      <c r="C1125" s="59">
        <v>85.2</v>
      </c>
      <c r="D1125" s="60" t="s">
        <v>15</v>
      </c>
      <c r="E1125" s="593" t="s">
        <v>18</v>
      </c>
      <c r="F1125" s="524"/>
    </row>
    <row r="1126" spans="1:6">
      <c r="A1126" s="59"/>
      <c r="B1126" s="79" t="s">
        <v>48</v>
      </c>
      <c r="C1126" s="58">
        <f>C1127+C1128+C1129+C1130</f>
        <v>142.60000000000002</v>
      </c>
      <c r="D1126" s="60" t="s">
        <v>72</v>
      </c>
      <c r="E1126" s="589" t="s">
        <v>9</v>
      </c>
      <c r="F1126" s="524"/>
    </row>
    <row r="1127" spans="1:6">
      <c r="A1127" s="59" t="s">
        <v>29</v>
      </c>
      <c r="B1127" s="66" t="s">
        <v>235</v>
      </c>
      <c r="C1127" s="59">
        <v>50.2</v>
      </c>
      <c r="D1127" s="60" t="s">
        <v>15</v>
      </c>
      <c r="E1127" s="593" t="s">
        <v>28</v>
      </c>
      <c r="F1127" s="524"/>
    </row>
    <row r="1128" spans="1:6">
      <c r="A1128" s="59"/>
      <c r="B1128" s="66" t="s">
        <v>236</v>
      </c>
      <c r="C1128" s="59">
        <v>23.6</v>
      </c>
      <c r="D1128" s="60" t="s">
        <v>15</v>
      </c>
      <c r="E1128" s="593" t="s">
        <v>28</v>
      </c>
      <c r="F1128" s="524"/>
    </row>
    <row r="1129" spans="1:6">
      <c r="A1129" s="59"/>
      <c r="B1129" s="66" t="s">
        <v>237</v>
      </c>
      <c r="C1129" s="59">
        <v>52</v>
      </c>
      <c r="D1129" s="60" t="s">
        <v>15</v>
      </c>
      <c r="E1129" s="593" t="s">
        <v>28</v>
      </c>
      <c r="F1129" s="524"/>
    </row>
    <row r="1130" spans="1:6">
      <c r="A1130" s="59"/>
      <c r="B1130" s="66" t="s">
        <v>238</v>
      </c>
      <c r="C1130" s="59">
        <v>16.8</v>
      </c>
      <c r="D1130" s="60" t="s">
        <v>15</v>
      </c>
      <c r="E1130" s="593" t="s">
        <v>239</v>
      </c>
      <c r="F1130" s="524"/>
    </row>
    <row r="1131" spans="1:6">
      <c r="A1131" s="59"/>
      <c r="B1131" s="81" t="s">
        <v>30</v>
      </c>
      <c r="C1131" s="58">
        <f>C1132+C1133+C1134+C1135+C1136+C1137+C1138+C1139+C1140+C1141+C1142+C1143+C1144+C1145+C1146+C1147+C1148</f>
        <v>427.29999999999995</v>
      </c>
      <c r="D1131" s="60" t="s">
        <v>72</v>
      </c>
      <c r="E1131" s="589" t="s">
        <v>9</v>
      </c>
      <c r="F1131" s="524"/>
    </row>
    <row r="1132" spans="1:6">
      <c r="A1132" s="59" t="s">
        <v>37</v>
      </c>
      <c r="B1132" s="66" t="s">
        <v>240</v>
      </c>
      <c r="C1132" s="59">
        <v>37.799999999999997</v>
      </c>
      <c r="D1132" s="60" t="s">
        <v>15</v>
      </c>
      <c r="E1132" s="593" t="s">
        <v>18</v>
      </c>
      <c r="F1132" s="524"/>
    </row>
    <row r="1133" spans="1:6">
      <c r="A1133" s="59"/>
      <c r="B1133" s="66" t="s">
        <v>241</v>
      </c>
      <c r="C1133" s="59">
        <v>34.799999999999997</v>
      </c>
      <c r="D1133" s="60" t="s">
        <v>15</v>
      </c>
      <c r="E1133" s="593" t="s">
        <v>18</v>
      </c>
      <c r="F1133" s="524"/>
    </row>
    <row r="1134" spans="1:6">
      <c r="A1134" s="59"/>
      <c r="B1134" s="66" t="s">
        <v>241</v>
      </c>
      <c r="C1134" s="59">
        <v>16.5</v>
      </c>
      <c r="D1134" s="60" t="s">
        <v>15</v>
      </c>
      <c r="E1134" s="593" t="s">
        <v>18</v>
      </c>
      <c r="F1134" s="524"/>
    </row>
    <row r="1135" spans="1:6">
      <c r="A1135" s="59"/>
      <c r="B1135" s="66" t="s">
        <v>242</v>
      </c>
      <c r="C1135" s="59">
        <v>29.6</v>
      </c>
      <c r="D1135" s="60" t="s">
        <v>15</v>
      </c>
      <c r="E1135" s="593" t="s">
        <v>18</v>
      </c>
      <c r="F1135" s="524"/>
    </row>
    <row r="1136" spans="1:6">
      <c r="A1136" s="59"/>
      <c r="B1136" s="66" t="s">
        <v>243</v>
      </c>
      <c r="C1136" s="59">
        <v>8.6999999999999993</v>
      </c>
      <c r="D1136" s="60" t="s">
        <v>15</v>
      </c>
      <c r="E1136" s="593" t="s">
        <v>18</v>
      </c>
      <c r="F1136" s="524"/>
    </row>
    <row r="1137" spans="1:6">
      <c r="A1137" s="59"/>
      <c r="B1137" s="66" t="s">
        <v>244</v>
      </c>
      <c r="C1137" s="59">
        <v>12.5</v>
      </c>
      <c r="D1137" s="60" t="s">
        <v>15</v>
      </c>
      <c r="E1137" s="593" t="s">
        <v>18</v>
      </c>
      <c r="F1137" s="524"/>
    </row>
    <row r="1138" spans="1:6">
      <c r="A1138" s="59"/>
      <c r="B1138" s="66" t="s">
        <v>245</v>
      </c>
      <c r="C1138" s="59">
        <v>104.4</v>
      </c>
      <c r="D1138" s="60" t="s">
        <v>15</v>
      </c>
      <c r="E1138" s="593" t="s">
        <v>18</v>
      </c>
      <c r="F1138" s="524"/>
    </row>
    <row r="1139" spans="1:6">
      <c r="A1139" s="59"/>
      <c r="B1139" s="66" t="s">
        <v>246</v>
      </c>
      <c r="C1139" s="59">
        <v>33.6</v>
      </c>
      <c r="D1139" s="60" t="s">
        <v>15</v>
      </c>
      <c r="E1139" s="593" t="s">
        <v>18</v>
      </c>
      <c r="F1139" s="524"/>
    </row>
    <row r="1140" spans="1:6">
      <c r="A1140" s="59"/>
      <c r="B1140" s="66" t="s">
        <v>247</v>
      </c>
      <c r="C1140" s="59">
        <v>16.2</v>
      </c>
      <c r="D1140" s="60" t="s">
        <v>15</v>
      </c>
      <c r="E1140" s="593" t="s">
        <v>18</v>
      </c>
      <c r="F1140" s="524"/>
    </row>
    <row r="1141" spans="1:6">
      <c r="A1141" s="59"/>
      <c r="B1141" s="66" t="s">
        <v>248</v>
      </c>
      <c r="C1141" s="59">
        <v>18</v>
      </c>
      <c r="D1141" s="60" t="s">
        <v>15</v>
      </c>
      <c r="E1141" s="593" t="s">
        <v>18</v>
      </c>
      <c r="F1141" s="524"/>
    </row>
    <row r="1142" spans="1:6">
      <c r="A1142" s="59"/>
      <c r="B1142" s="66" t="s">
        <v>233</v>
      </c>
      <c r="C1142" s="59">
        <v>50.7</v>
      </c>
      <c r="D1142" s="60" t="s">
        <v>15</v>
      </c>
      <c r="E1142" s="593" t="s">
        <v>18</v>
      </c>
      <c r="F1142" s="524"/>
    </row>
    <row r="1143" spans="1:6">
      <c r="A1143" s="59"/>
      <c r="B1143" s="66" t="s">
        <v>233</v>
      </c>
      <c r="C1143" s="59">
        <v>5.7</v>
      </c>
      <c r="D1143" s="60" t="s">
        <v>15</v>
      </c>
      <c r="E1143" s="593" t="s">
        <v>18</v>
      </c>
      <c r="F1143" s="524"/>
    </row>
    <row r="1144" spans="1:6">
      <c r="A1144" s="59"/>
      <c r="B1144" s="66" t="s">
        <v>233</v>
      </c>
      <c r="C1144" s="59">
        <v>26.8</v>
      </c>
      <c r="D1144" s="60" t="s">
        <v>15</v>
      </c>
      <c r="E1144" s="593" t="s">
        <v>18</v>
      </c>
      <c r="F1144" s="524"/>
    </row>
    <row r="1145" spans="1:6">
      <c r="A1145" s="59"/>
      <c r="B1145" s="66" t="s">
        <v>240</v>
      </c>
      <c r="C1145" s="59">
        <v>16.899999999999999</v>
      </c>
      <c r="D1145" s="60" t="s">
        <v>15</v>
      </c>
      <c r="E1145" s="593" t="s">
        <v>18</v>
      </c>
      <c r="F1145" s="524"/>
    </row>
    <row r="1146" spans="1:6">
      <c r="A1146" s="59"/>
      <c r="B1146" s="66" t="s">
        <v>231</v>
      </c>
      <c r="C1146" s="59">
        <v>5.6</v>
      </c>
      <c r="D1146" s="60" t="s">
        <v>15</v>
      </c>
      <c r="E1146" s="593" t="s">
        <v>18</v>
      </c>
      <c r="F1146" s="524"/>
    </row>
    <row r="1147" spans="1:6">
      <c r="A1147" s="59"/>
      <c r="B1147" s="66" t="s">
        <v>249</v>
      </c>
      <c r="C1147" s="59">
        <v>4.8</v>
      </c>
      <c r="D1147" s="60" t="s">
        <v>15</v>
      </c>
      <c r="E1147" s="593" t="s">
        <v>18</v>
      </c>
      <c r="F1147" s="524"/>
    </row>
    <row r="1148" spans="1:6">
      <c r="A1148" s="59"/>
      <c r="B1148" s="66" t="s">
        <v>238</v>
      </c>
      <c r="C1148" s="59">
        <v>4.7</v>
      </c>
      <c r="D1148" s="60" t="s">
        <v>15</v>
      </c>
      <c r="E1148" s="593" t="s">
        <v>28</v>
      </c>
      <c r="F1148" s="524"/>
    </row>
    <row r="1149" spans="1:6">
      <c r="A1149" s="533"/>
      <c r="B1149" s="125" t="s">
        <v>225</v>
      </c>
      <c r="C1149" s="464">
        <f>C1150+C1159+C1165+C1170</f>
        <v>1164.1600000000001</v>
      </c>
      <c r="D1149" s="533"/>
      <c r="E1149" s="595"/>
      <c r="F1149" s="708" t="s">
        <v>250</v>
      </c>
    </row>
    <row r="1150" spans="1:6">
      <c r="A1150" s="204"/>
      <c r="B1150" s="79" t="s">
        <v>38</v>
      </c>
      <c r="C1150" s="58">
        <f>C1151+C1152+C1153+C1154+C1155+C1156+C1157+C1158</f>
        <v>416.90000000000003</v>
      </c>
      <c r="D1150" s="60" t="s">
        <v>72</v>
      </c>
      <c r="E1150" s="589" t="s">
        <v>9</v>
      </c>
      <c r="F1150" s="706"/>
    </row>
    <row r="1151" spans="1:6">
      <c r="A1151" s="524"/>
      <c r="B1151" s="66" t="s">
        <v>251</v>
      </c>
      <c r="C1151" s="59">
        <v>37.200000000000003</v>
      </c>
      <c r="D1151" s="60" t="s">
        <v>15</v>
      </c>
      <c r="E1151" s="593" t="s">
        <v>18</v>
      </c>
      <c r="F1151" s="706"/>
    </row>
    <row r="1152" spans="1:6">
      <c r="A1152" s="524"/>
      <c r="B1152" s="66" t="s">
        <v>252</v>
      </c>
      <c r="C1152" s="59">
        <v>36.6</v>
      </c>
      <c r="D1152" s="60" t="s">
        <v>15</v>
      </c>
      <c r="E1152" s="593" t="s">
        <v>18</v>
      </c>
      <c r="F1152" s="706"/>
    </row>
    <row r="1153" spans="1:6">
      <c r="A1153" s="524"/>
      <c r="B1153" s="66" t="s">
        <v>253</v>
      </c>
      <c r="C1153" s="59">
        <v>13.5</v>
      </c>
      <c r="D1153" s="60" t="s">
        <v>15</v>
      </c>
      <c r="E1153" s="593" t="s">
        <v>28</v>
      </c>
      <c r="F1153" s="706"/>
    </row>
    <row r="1154" spans="1:6">
      <c r="A1154" s="524"/>
      <c r="B1154" s="66" t="s">
        <v>241</v>
      </c>
      <c r="C1154" s="59">
        <v>143.4</v>
      </c>
      <c r="D1154" s="60" t="s">
        <v>15</v>
      </c>
      <c r="E1154" s="593" t="s">
        <v>18</v>
      </c>
      <c r="F1154" s="706"/>
    </row>
    <row r="1155" spans="1:6">
      <c r="A1155" s="524"/>
      <c r="B1155" s="66" t="s">
        <v>254</v>
      </c>
      <c r="C1155" s="59">
        <v>24.2</v>
      </c>
      <c r="D1155" s="60" t="s">
        <v>15</v>
      </c>
      <c r="E1155" s="593" t="s">
        <v>18</v>
      </c>
      <c r="F1155" s="706"/>
    </row>
    <row r="1156" spans="1:6">
      <c r="A1156" s="524"/>
      <c r="B1156" s="66" t="s">
        <v>253</v>
      </c>
      <c r="C1156" s="59">
        <v>12.4</v>
      </c>
      <c r="D1156" s="60" t="s">
        <v>15</v>
      </c>
      <c r="E1156" s="593" t="s">
        <v>28</v>
      </c>
      <c r="F1156" s="706"/>
    </row>
    <row r="1157" spans="1:6">
      <c r="A1157" s="524"/>
      <c r="B1157" s="66" t="s">
        <v>255</v>
      </c>
      <c r="C1157" s="59">
        <v>110.5</v>
      </c>
      <c r="D1157" s="60" t="s">
        <v>15</v>
      </c>
      <c r="E1157" s="593" t="s">
        <v>28</v>
      </c>
      <c r="F1157" s="706"/>
    </row>
    <row r="1158" spans="1:6">
      <c r="A1158" s="524"/>
      <c r="B1158" s="66" t="s">
        <v>256</v>
      </c>
      <c r="C1158" s="59">
        <v>39.1</v>
      </c>
      <c r="D1158" s="60" t="s">
        <v>15</v>
      </c>
      <c r="E1158" s="593" t="s">
        <v>18</v>
      </c>
      <c r="F1158" s="706"/>
    </row>
    <row r="1159" spans="1:6">
      <c r="A1159" s="524"/>
      <c r="B1159" s="81" t="s">
        <v>30</v>
      </c>
      <c r="C1159" s="58">
        <f>C1160+C1161+C1162+C1163+C1164</f>
        <v>314.5</v>
      </c>
      <c r="D1159" s="60" t="s">
        <v>72</v>
      </c>
      <c r="E1159" s="589" t="s">
        <v>9</v>
      </c>
      <c r="F1159" s="706"/>
    </row>
    <row r="1160" spans="1:6">
      <c r="A1160" s="524"/>
      <c r="B1160" s="66" t="s">
        <v>257</v>
      </c>
      <c r="C1160" s="59">
        <v>263</v>
      </c>
      <c r="D1160" s="60" t="s">
        <v>15</v>
      </c>
      <c r="E1160" s="593" t="s">
        <v>18</v>
      </c>
      <c r="F1160" s="706"/>
    </row>
    <row r="1161" spans="1:6">
      <c r="A1161" s="524"/>
      <c r="B1161" s="66" t="s">
        <v>258</v>
      </c>
      <c r="C1161" s="59">
        <v>36.5</v>
      </c>
      <c r="D1161" s="60" t="s">
        <v>15</v>
      </c>
      <c r="E1161" s="593" t="s">
        <v>18</v>
      </c>
      <c r="F1161" s="706"/>
    </row>
    <row r="1162" spans="1:6">
      <c r="A1162" s="524"/>
      <c r="B1162" s="66" t="s">
        <v>259</v>
      </c>
      <c r="C1162" s="59">
        <v>4.7</v>
      </c>
      <c r="D1162" s="60" t="s">
        <v>15</v>
      </c>
      <c r="E1162" s="593" t="s">
        <v>28</v>
      </c>
      <c r="F1162" s="706"/>
    </row>
    <row r="1163" spans="1:6">
      <c r="A1163" s="524"/>
      <c r="B1163" s="66" t="s">
        <v>238</v>
      </c>
      <c r="C1163" s="59">
        <v>4.7</v>
      </c>
      <c r="D1163" s="60" t="s">
        <v>15</v>
      </c>
      <c r="E1163" s="593" t="s">
        <v>28</v>
      </c>
      <c r="F1163" s="706"/>
    </row>
    <row r="1164" spans="1:6">
      <c r="A1164" s="524"/>
      <c r="B1164" s="66" t="s">
        <v>231</v>
      </c>
      <c r="C1164" s="59">
        <v>5.6</v>
      </c>
      <c r="D1164" s="60" t="s">
        <v>15</v>
      </c>
      <c r="E1164" s="593" t="s">
        <v>28</v>
      </c>
      <c r="F1164" s="706"/>
    </row>
    <row r="1165" spans="1:6">
      <c r="A1165" s="524"/>
      <c r="B1165" s="81" t="s">
        <v>12</v>
      </c>
      <c r="C1165" s="58">
        <f>C1166+C1167+C1168+C1169</f>
        <v>243.10000000000002</v>
      </c>
      <c r="D1165" s="60"/>
      <c r="E1165" s="593"/>
      <c r="F1165" s="706"/>
    </row>
    <row r="1166" spans="1:6">
      <c r="A1166" s="524"/>
      <c r="B1166" s="66" t="s">
        <v>235</v>
      </c>
      <c r="C1166" s="59">
        <v>16.899999999999999</v>
      </c>
      <c r="D1166" s="60" t="s">
        <v>15</v>
      </c>
      <c r="E1166" s="593" t="s">
        <v>18</v>
      </c>
      <c r="F1166" s="706"/>
    </row>
    <row r="1167" spans="1:6">
      <c r="A1167" s="524"/>
      <c r="B1167" s="66" t="s">
        <v>260</v>
      </c>
      <c r="C1167" s="59">
        <v>2</v>
      </c>
      <c r="D1167" s="60" t="s">
        <v>15</v>
      </c>
      <c r="E1167" s="593" t="s">
        <v>18</v>
      </c>
      <c r="F1167" s="706"/>
    </row>
    <row r="1168" spans="1:6">
      <c r="A1168" s="524"/>
      <c r="B1168" s="66" t="s">
        <v>261</v>
      </c>
      <c r="C1168" s="59">
        <v>139</v>
      </c>
      <c r="D1168" s="60" t="s">
        <v>15</v>
      </c>
      <c r="E1168" s="593" t="s">
        <v>28</v>
      </c>
      <c r="F1168" s="706"/>
    </row>
    <row r="1169" spans="1:6" ht="25.5">
      <c r="A1169" s="524"/>
      <c r="B1169" s="66" t="s">
        <v>262</v>
      </c>
      <c r="C1169" s="59">
        <v>85.2</v>
      </c>
      <c r="D1169" s="60" t="s">
        <v>15</v>
      </c>
      <c r="E1169" s="593" t="s">
        <v>28</v>
      </c>
      <c r="F1169" s="706"/>
    </row>
    <row r="1170" spans="1:6">
      <c r="A1170" s="524"/>
      <c r="B1170" s="81" t="s">
        <v>48</v>
      </c>
      <c r="C1170" s="58">
        <f>C1171+C1172+C1173+C1174+C1175+C1176+C1177</f>
        <v>189.66</v>
      </c>
      <c r="D1170" s="60"/>
      <c r="E1170" s="593"/>
      <c r="F1170" s="706"/>
    </row>
    <row r="1171" spans="1:6">
      <c r="A1171" s="524"/>
      <c r="B1171" s="66" t="s">
        <v>263</v>
      </c>
      <c r="C1171" s="59">
        <v>45.4</v>
      </c>
      <c r="D1171" s="60" t="s">
        <v>15</v>
      </c>
      <c r="E1171" s="593" t="s">
        <v>28</v>
      </c>
      <c r="F1171" s="706"/>
    </row>
    <row r="1172" spans="1:6">
      <c r="A1172" s="524"/>
      <c r="B1172" s="66" t="s">
        <v>264</v>
      </c>
      <c r="C1172" s="59">
        <v>34.5</v>
      </c>
      <c r="D1172" s="60" t="s">
        <v>15</v>
      </c>
      <c r="E1172" s="593" t="s">
        <v>28</v>
      </c>
      <c r="F1172" s="706"/>
    </row>
    <row r="1173" spans="1:6">
      <c r="A1173" s="524"/>
      <c r="B1173" s="66" t="s">
        <v>238</v>
      </c>
      <c r="C1173" s="59">
        <v>10.65</v>
      </c>
      <c r="D1173" s="60" t="s">
        <v>15</v>
      </c>
      <c r="E1173" s="593" t="s">
        <v>28</v>
      </c>
      <c r="F1173" s="706"/>
    </row>
    <row r="1174" spans="1:6">
      <c r="A1174" s="524"/>
      <c r="B1174" s="66" t="s">
        <v>265</v>
      </c>
      <c r="C1174" s="59">
        <v>19.7</v>
      </c>
      <c r="D1174" s="60" t="s">
        <v>15</v>
      </c>
      <c r="E1174" s="593" t="s">
        <v>28</v>
      </c>
      <c r="F1174" s="706"/>
    </row>
    <row r="1175" spans="1:6">
      <c r="A1175" s="524"/>
      <c r="B1175" s="66" t="s">
        <v>233</v>
      </c>
      <c r="C1175" s="59">
        <v>36.4</v>
      </c>
      <c r="D1175" s="60" t="s">
        <v>15</v>
      </c>
      <c r="E1175" s="593" t="s">
        <v>28</v>
      </c>
      <c r="F1175" s="706"/>
    </row>
    <row r="1176" spans="1:6">
      <c r="A1176" s="524"/>
      <c r="B1176" s="66" t="s">
        <v>266</v>
      </c>
      <c r="C1176" s="59">
        <v>29.01</v>
      </c>
      <c r="D1176" s="60" t="s">
        <v>15</v>
      </c>
      <c r="E1176" s="593" t="s">
        <v>28</v>
      </c>
      <c r="F1176" s="706"/>
    </row>
    <row r="1177" spans="1:6">
      <c r="A1177" s="532"/>
      <c r="B1177" s="82" t="s">
        <v>267</v>
      </c>
      <c r="C1177" s="205">
        <v>14</v>
      </c>
      <c r="D1177" s="61" t="s">
        <v>15</v>
      </c>
      <c r="E1177" s="594" t="s">
        <v>18</v>
      </c>
      <c r="F1177" s="707"/>
    </row>
    <row r="1178" spans="1:6">
      <c r="A1178" s="524">
        <v>1</v>
      </c>
      <c r="B1178" s="118" t="s">
        <v>225</v>
      </c>
      <c r="C1178" s="464">
        <f>+C1179</f>
        <v>479.09999999999997</v>
      </c>
      <c r="D1178" s="63"/>
      <c r="E1178" s="595"/>
      <c r="F1178" s="709" t="s">
        <v>268</v>
      </c>
    </row>
    <row r="1179" spans="1:6">
      <c r="A1179" s="524" t="s">
        <v>214</v>
      </c>
      <c r="B1179" s="50" t="s">
        <v>12</v>
      </c>
      <c r="C1179" s="78">
        <f>+C1180+C1181+C1183+C1184+C1185+C1186</f>
        <v>479.09999999999997</v>
      </c>
      <c r="D1179" s="60" t="s">
        <v>72</v>
      </c>
      <c r="E1179" s="589" t="s">
        <v>9</v>
      </c>
      <c r="F1179" s="709"/>
    </row>
    <row r="1180" spans="1:6">
      <c r="A1180" s="524" t="s">
        <v>11</v>
      </c>
      <c r="B1180" s="51" t="s">
        <v>63</v>
      </c>
      <c r="C1180" s="524">
        <v>88.1</v>
      </c>
      <c r="D1180" s="52" t="s">
        <v>15</v>
      </c>
      <c r="E1180" s="593" t="s">
        <v>18</v>
      </c>
      <c r="F1180" s="709"/>
    </row>
    <row r="1181" spans="1:6">
      <c r="A1181" s="524"/>
      <c r="B1181" s="51" t="s">
        <v>21</v>
      </c>
      <c r="C1181" s="524">
        <v>14.4</v>
      </c>
      <c r="D1181" s="52" t="s">
        <v>22</v>
      </c>
      <c r="E1181" s="593" t="s">
        <v>18</v>
      </c>
      <c r="F1181" s="709"/>
    </row>
    <row r="1182" spans="1:6">
      <c r="A1182" s="524"/>
      <c r="B1182" s="51" t="s">
        <v>214</v>
      </c>
      <c r="C1182" s="524"/>
      <c r="D1182" s="52" t="s">
        <v>67</v>
      </c>
      <c r="E1182" s="593" t="s">
        <v>68</v>
      </c>
      <c r="F1182" s="709"/>
    </row>
    <row r="1183" spans="1:6">
      <c r="A1183" s="524"/>
      <c r="B1183" s="51" t="s">
        <v>45</v>
      </c>
      <c r="C1183" s="524">
        <v>32</v>
      </c>
      <c r="D1183" s="52" t="s">
        <v>15</v>
      </c>
      <c r="E1183" s="593" t="s">
        <v>28</v>
      </c>
      <c r="F1183" s="709"/>
    </row>
    <row r="1184" spans="1:6">
      <c r="A1184" s="524"/>
      <c r="B1184" s="51" t="s">
        <v>17</v>
      </c>
      <c r="C1184" s="524">
        <v>169.3</v>
      </c>
      <c r="D1184" s="52" t="s">
        <v>15</v>
      </c>
      <c r="E1184" s="593" t="s">
        <v>18</v>
      </c>
      <c r="F1184" s="709"/>
    </row>
    <row r="1185" spans="1:6">
      <c r="A1185" s="524"/>
      <c r="B1185" s="51" t="s">
        <v>39</v>
      </c>
      <c r="C1185" s="524">
        <v>166.6</v>
      </c>
      <c r="D1185" s="52" t="s">
        <v>15</v>
      </c>
      <c r="E1185" s="593" t="s">
        <v>18</v>
      </c>
      <c r="F1185" s="709"/>
    </row>
    <row r="1186" spans="1:6">
      <c r="A1186" s="524"/>
      <c r="B1186" s="51" t="s">
        <v>36</v>
      </c>
      <c r="C1186" s="532">
        <v>8.6999999999999993</v>
      </c>
      <c r="D1186" s="54" t="s">
        <v>15</v>
      </c>
      <c r="E1186" s="594" t="s">
        <v>42</v>
      </c>
      <c r="F1186" s="709"/>
    </row>
    <row r="1187" spans="1:6">
      <c r="A1187" s="68">
        <v>2</v>
      </c>
      <c r="B1187" s="56" t="s">
        <v>269</v>
      </c>
      <c r="C1187" s="456">
        <v>340.8</v>
      </c>
      <c r="D1187" s="533">
        <v>6</v>
      </c>
      <c r="E1187" s="589" t="s">
        <v>9</v>
      </c>
      <c r="F1187" s="708" t="s">
        <v>270</v>
      </c>
    </row>
    <row r="1188" spans="1:6">
      <c r="A1188" s="62" t="s">
        <v>11</v>
      </c>
      <c r="B1188" s="706" t="s">
        <v>271</v>
      </c>
      <c r="C1188" s="63" t="s">
        <v>214</v>
      </c>
      <c r="D1188" s="524">
        <v>7</v>
      </c>
      <c r="E1188" s="589" t="s">
        <v>9</v>
      </c>
      <c r="F1188" s="706"/>
    </row>
    <row r="1189" spans="1:6">
      <c r="A1189" s="64"/>
      <c r="B1189" s="707"/>
      <c r="C1189" s="63">
        <v>340.8</v>
      </c>
      <c r="D1189" s="61" t="s">
        <v>15</v>
      </c>
      <c r="E1189" s="590" t="s">
        <v>88</v>
      </c>
      <c r="F1189" s="707"/>
    </row>
    <row r="1190" spans="1:6">
      <c r="A1190" s="524">
        <v>1</v>
      </c>
      <c r="B1190" s="118" t="s">
        <v>680</v>
      </c>
      <c r="C1190" s="464">
        <f>+C1191+C1203</f>
        <v>559.09999999999991</v>
      </c>
      <c r="D1190" s="63"/>
      <c r="E1190" s="595"/>
      <c r="F1190" s="724" t="s">
        <v>272</v>
      </c>
    </row>
    <row r="1191" spans="1:6">
      <c r="A1191" s="524" t="s">
        <v>214</v>
      </c>
      <c r="B1191" s="50" t="s">
        <v>12</v>
      </c>
      <c r="C1191" s="78">
        <f>+C1192+C1193+C1195+C1196+C1197+C1198+C1199+C1200+C1201+C1202</f>
        <v>315.99999999999994</v>
      </c>
      <c r="D1191" s="60" t="s">
        <v>72</v>
      </c>
      <c r="E1191" s="589" t="s">
        <v>9</v>
      </c>
      <c r="F1191" s="709"/>
    </row>
    <row r="1192" spans="1:6">
      <c r="A1192" s="524" t="s">
        <v>11</v>
      </c>
      <c r="B1192" s="51" t="s">
        <v>63</v>
      </c>
      <c r="C1192" s="524">
        <v>31.1</v>
      </c>
      <c r="D1192" s="52" t="s">
        <v>15</v>
      </c>
      <c r="E1192" s="593" t="s">
        <v>18</v>
      </c>
      <c r="F1192" s="709"/>
    </row>
    <row r="1193" spans="1:6">
      <c r="A1193" s="524"/>
      <c r="B1193" s="51" t="s">
        <v>21</v>
      </c>
      <c r="C1193" s="524">
        <v>14.5</v>
      </c>
      <c r="D1193" s="52" t="s">
        <v>22</v>
      </c>
      <c r="E1193" s="593" t="s">
        <v>18</v>
      </c>
      <c r="F1193" s="709"/>
    </row>
    <row r="1194" spans="1:6">
      <c r="A1194" s="524"/>
      <c r="B1194" s="51" t="s">
        <v>214</v>
      </c>
      <c r="C1194" s="524"/>
      <c r="D1194" s="52" t="s">
        <v>67</v>
      </c>
      <c r="E1194" s="593" t="s">
        <v>68</v>
      </c>
      <c r="F1194" s="709"/>
    </row>
    <row r="1195" spans="1:6">
      <c r="A1195" s="524"/>
      <c r="B1195" s="51" t="s">
        <v>45</v>
      </c>
      <c r="C1195" s="524">
        <v>29.2</v>
      </c>
      <c r="D1195" s="52" t="s">
        <v>15</v>
      </c>
      <c r="E1195" s="593" t="s">
        <v>28</v>
      </c>
      <c r="F1195" s="709"/>
    </row>
    <row r="1196" spans="1:6">
      <c r="A1196" s="524"/>
      <c r="B1196" s="51" t="s">
        <v>130</v>
      </c>
      <c r="C1196" s="524">
        <v>9.1</v>
      </c>
      <c r="D1196" s="52" t="s">
        <v>15</v>
      </c>
      <c r="E1196" s="593" t="s">
        <v>18</v>
      </c>
      <c r="F1196" s="709"/>
    </row>
    <row r="1197" spans="1:6">
      <c r="A1197" s="66"/>
      <c r="B1197" s="62" t="s">
        <v>273</v>
      </c>
      <c r="C1197" s="524">
        <v>23.2</v>
      </c>
      <c r="D1197" s="52" t="s">
        <v>15</v>
      </c>
      <c r="E1197" s="593" t="s">
        <v>18</v>
      </c>
      <c r="F1197" s="709"/>
    </row>
    <row r="1198" spans="1:6">
      <c r="A1198" s="66"/>
      <c r="B1198" s="51" t="s">
        <v>36</v>
      </c>
      <c r="C1198" s="524">
        <v>113.3</v>
      </c>
      <c r="D1198" s="52" t="s">
        <v>15</v>
      </c>
      <c r="E1198" s="593" t="s">
        <v>18</v>
      </c>
      <c r="F1198" s="709"/>
    </row>
    <row r="1199" spans="1:6">
      <c r="A1199" s="66"/>
      <c r="B1199" s="51" t="s">
        <v>39</v>
      </c>
      <c r="C1199" s="524">
        <v>54.7</v>
      </c>
      <c r="D1199" s="52" t="s">
        <v>15</v>
      </c>
      <c r="E1199" s="593" t="s">
        <v>18</v>
      </c>
      <c r="F1199" s="709"/>
    </row>
    <row r="1200" spans="1:6">
      <c r="A1200" s="66"/>
      <c r="B1200" s="51" t="s">
        <v>36</v>
      </c>
      <c r="C1200" s="524">
        <v>23.9</v>
      </c>
      <c r="D1200" s="52" t="s">
        <v>15</v>
      </c>
      <c r="E1200" s="593" t="s">
        <v>28</v>
      </c>
      <c r="F1200" s="709"/>
    </row>
    <row r="1201" spans="1:6">
      <c r="A1201" s="66"/>
      <c r="B1201" s="62" t="s">
        <v>218</v>
      </c>
      <c r="C1201" s="524">
        <v>8.6999999999999993</v>
      </c>
      <c r="D1201" s="52" t="s">
        <v>15</v>
      </c>
      <c r="E1201" s="593" t="s">
        <v>18</v>
      </c>
      <c r="F1201" s="709"/>
    </row>
    <row r="1202" spans="1:6">
      <c r="A1202" s="66"/>
      <c r="B1202" s="67" t="s">
        <v>221</v>
      </c>
      <c r="C1202" s="524">
        <v>8.3000000000000007</v>
      </c>
      <c r="D1202" s="52" t="s">
        <v>15</v>
      </c>
      <c r="E1202" s="593" t="s">
        <v>18</v>
      </c>
      <c r="F1202" s="709"/>
    </row>
    <row r="1203" spans="1:6">
      <c r="A1203" s="524" t="s">
        <v>29</v>
      </c>
      <c r="B1203" s="50" t="s">
        <v>30</v>
      </c>
      <c r="C1203" s="78">
        <f>+C1204+C1205+C1206</f>
        <v>243.10000000000002</v>
      </c>
      <c r="D1203" s="60" t="s">
        <v>72</v>
      </c>
      <c r="E1203" s="589" t="s">
        <v>9</v>
      </c>
      <c r="F1203" s="709"/>
    </row>
    <row r="1204" spans="1:6">
      <c r="A1204" s="524"/>
      <c r="B1204" s="51" t="s">
        <v>17</v>
      </c>
      <c r="C1204" s="524">
        <v>65.400000000000006</v>
      </c>
      <c r="D1204" s="52" t="s">
        <v>15</v>
      </c>
      <c r="E1204" s="593" t="s">
        <v>18</v>
      </c>
      <c r="F1204" s="709"/>
    </row>
    <row r="1205" spans="1:6">
      <c r="A1205" s="524"/>
      <c r="B1205" s="51" t="s">
        <v>39</v>
      </c>
      <c r="C1205" s="524">
        <v>46.4</v>
      </c>
      <c r="D1205" s="52" t="s">
        <v>15</v>
      </c>
      <c r="E1205" s="593" t="s">
        <v>18</v>
      </c>
      <c r="F1205" s="709"/>
    </row>
    <row r="1206" spans="1:6">
      <c r="A1206" s="532"/>
      <c r="B1206" s="51" t="s">
        <v>36</v>
      </c>
      <c r="C1206" s="532">
        <v>131.30000000000001</v>
      </c>
      <c r="D1206" s="52" t="s">
        <v>15</v>
      </c>
      <c r="E1206" s="594" t="s">
        <v>18</v>
      </c>
      <c r="F1206" s="725"/>
    </row>
    <row r="1207" spans="1:6">
      <c r="A1207" s="533">
        <v>1</v>
      </c>
      <c r="B1207" s="119" t="s">
        <v>679</v>
      </c>
      <c r="C1207" s="464">
        <f>C1208+C1220+C1230</f>
        <v>730.1</v>
      </c>
      <c r="D1207" s="83"/>
      <c r="E1207" s="595"/>
      <c r="F1207" s="708" t="s">
        <v>894</v>
      </c>
    </row>
    <row r="1208" spans="1:6">
      <c r="A1208" s="524" t="s">
        <v>11</v>
      </c>
      <c r="B1208" s="50" t="s">
        <v>12</v>
      </c>
      <c r="C1208" s="78">
        <f>+C1209+C1210+C1212+C1213+C1214+C1215+C1216+C1217+C1218+C1219</f>
        <v>399.20000000000005</v>
      </c>
      <c r="D1208" s="60" t="s">
        <v>72</v>
      </c>
      <c r="E1208" s="589" t="s">
        <v>9</v>
      </c>
      <c r="F1208" s="706"/>
    </row>
    <row r="1209" spans="1:6">
      <c r="A1209" s="524"/>
      <c r="B1209" s="51" t="s">
        <v>275</v>
      </c>
      <c r="C1209" s="524">
        <v>45.6</v>
      </c>
      <c r="D1209" s="52" t="s">
        <v>15</v>
      </c>
      <c r="E1209" s="593" t="s">
        <v>276</v>
      </c>
      <c r="F1209" s="706"/>
    </row>
    <row r="1210" spans="1:6">
      <c r="A1210" s="524"/>
      <c r="B1210" s="51" t="s">
        <v>21</v>
      </c>
      <c r="C1210" s="524">
        <v>8.6</v>
      </c>
      <c r="D1210" s="52" t="s">
        <v>22</v>
      </c>
      <c r="E1210" s="593" t="s">
        <v>276</v>
      </c>
      <c r="F1210" s="706"/>
    </row>
    <row r="1211" spans="1:6">
      <c r="A1211" s="524"/>
      <c r="B1211" s="51"/>
      <c r="C1211" s="524"/>
      <c r="D1211" s="52" t="s">
        <v>67</v>
      </c>
      <c r="E1211" s="593" t="s">
        <v>277</v>
      </c>
      <c r="F1211" s="706"/>
    </row>
    <row r="1212" spans="1:6">
      <c r="A1212" s="524"/>
      <c r="B1212" s="51" t="s">
        <v>34</v>
      </c>
      <c r="C1212" s="524">
        <v>69.900000000000006</v>
      </c>
      <c r="D1212" s="52" t="s">
        <v>15</v>
      </c>
      <c r="E1212" s="593" t="s">
        <v>276</v>
      </c>
      <c r="F1212" s="706"/>
    </row>
    <row r="1213" spans="1:6">
      <c r="A1213" s="524"/>
      <c r="B1213" s="51" t="s">
        <v>221</v>
      </c>
      <c r="C1213" s="524">
        <v>7.5</v>
      </c>
      <c r="D1213" s="52" t="s">
        <v>15</v>
      </c>
      <c r="E1213" s="593" t="s">
        <v>276</v>
      </c>
      <c r="F1213" s="706"/>
    </row>
    <row r="1214" spans="1:6">
      <c r="A1214" s="524"/>
      <c r="B1214" s="51" t="s">
        <v>25</v>
      </c>
      <c r="C1214" s="524">
        <v>105.7</v>
      </c>
      <c r="D1214" s="52" t="s">
        <v>15</v>
      </c>
      <c r="E1214" s="593" t="s">
        <v>276</v>
      </c>
      <c r="F1214" s="706"/>
    </row>
    <row r="1215" spans="1:6">
      <c r="A1215" s="524"/>
      <c r="B1215" s="51" t="s">
        <v>55</v>
      </c>
      <c r="C1215" s="524">
        <v>34</v>
      </c>
      <c r="D1215" s="52" t="s">
        <v>15</v>
      </c>
      <c r="E1215" s="593" t="s">
        <v>276</v>
      </c>
      <c r="F1215" s="706"/>
    </row>
    <row r="1216" spans="1:6">
      <c r="A1216" s="66"/>
      <c r="B1216" s="67" t="s">
        <v>278</v>
      </c>
      <c r="C1216" s="524">
        <v>37.1</v>
      </c>
      <c r="D1216" s="52" t="s">
        <v>15</v>
      </c>
      <c r="E1216" s="593" t="s">
        <v>276</v>
      </c>
      <c r="F1216" s="706"/>
    </row>
    <row r="1217" spans="1:6">
      <c r="A1217" s="66"/>
      <c r="B1217" s="67" t="s">
        <v>39</v>
      </c>
      <c r="C1217" s="524">
        <v>44</v>
      </c>
      <c r="D1217" s="52" t="s">
        <v>15</v>
      </c>
      <c r="E1217" s="593" t="s">
        <v>276</v>
      </c>
      <c r="F1217" s="706"/>
    </row>
    <row r="1218" spans="1:6">
      <c r="A1218" s="66"/>
      <c r="B1218" s="67" t="s">
        <v>19</v>
      </c>
      <c r="C1218" s="524">
        <v>18.8</v>
      </c>
      <c r="D1218" s="52" t="s">
        <v>15</v>
      </c>
      <c r="E1218" s="593" t="s">
        <v>276</v>
      </c>
      <c r="F1218" s="706"/>
    </row>
    <row r="1219" spans="1:6">
      <c r="A1219" s="66"/>
      <c r="B1219" s="67" t="s">
        <v>279</v>
      </c>
      <c r="C1219" s="524">
        <v>28</v>
      </c>
      <c r="D1219" s="52" t="s">
        <v>15</v>
      </c>
      <c r="E1219" s="593" t="s">
        <v>276</v>
      </c>
      <c r="F1219" s="706"/>
    </row>
    <row r="1220" spans="1:6">
      <c r="A1220" s="524" t="s">
        <v>29</v>
      </c>
      <c r="B1220" s="50" t="s">
        <v>180</v>
      </c>
      <c r="C1220" s="78">
        <f>+C1221+C1222+C1223+C1224+C1226+C1227+C1228+C1229</f>
        <v>287.60000000000002</v>
      </c>
      <c r="D1220" s="60" t="s">
        <v>72</v>
      </c>
      <c r="E1220" s="589" t="s">
        <v>9</v>
      </c>
      <c r="F1220" s="706"/>
    </row>
    <row r="1221" spans="1:6">
      <c r="A1221" s="524"/>
      <c r="B1221" s="51" t="s">
        <v>39</v>
      </c>
      <c r="C1221" s="524">
        <v>42.6</v>
      </c>
      <c r="D1221" s="52" t="s">
        <v>15</v>
      </c>
      <c r="E1221" s="593" t="s">
        <v>18</v>
      </c>
      <c r="F1221" s="706"/>
    </row>
    <row r="1222" spans="1:6" ht="25.5">
      <c r="A1222" s="524"/>
      <c r="B1222" s="51" t="s">
        <v>280</v>
      </c>
      <c r="C1222" s="524">
        <v>102.9</v>
      </c>
      <c r="D1222" s="52" t="s">
        <v>15</v>
      </c>
      <c r="E1222" s="593" t="s">
        <v>18</v>
      </c>
      <c r="F1222" s="706"/>
    </row>
    <row r="1223" spans="1:6">
      <c r="A1223" s="524"/>
      <c r="B1223" s="51" t="s">
        <v>34</v>
      </c>
      <c r="C1223" s="524">
        <v>34.200000000000003</v>
      </c>
      <c r="D1223" s="52" t="s">
        <v>15</v>
      </c>
      <c r="E1223" s="593" t="s">
        <v>18</v>
      </c>
      <c r="F1223" s="706"/>
    </row>
    <row r="1224" spans="1:6">
      <c r="A1224" s="524"/>
      <c r="B1224" s="51" t="s">
        <v>21</v>
      </c>
      <c r="C1224" s="524">
        <v>16.7</v>
      </c>
      <c r="D1224" s="52" t="s">
        <v>22</v>
      </c>
      <c r="E1224" s="593" t="s">
        <v>18</v>
      </c>
      <c r="F1224" s="706"/>
    </row>
    <row r="1225" spans="1:6">
      <c r="A1225" s="524"/>
      <c r="B1225" s="51"/>
      <c r="C1225" s="524"/>
      <c r="D1225" s="52" t="s">
        <v>67</v>
      </c>
      <c r="E1225" s="593" t="s">
        <v>68</v>
      </c>
      <c r="F1225" s="706"/>
    </row>
    <row r="1226" spans="1:6">
      <c r="A1226" s="524"/>
      <c r="B1226" s="51" t="s">
        <v>63</v>
      </c>
      <c r="C1226" s="524">
        <v>54.9</v>
      </c>
      <c r="D1226" s="52" t="s">
        <v>15</v>
      </c>
      <c r="E1226" s="593" t="s">
        <v>18</v>
      </c>
      <c r="F1226" s="706"/>
    </row>
    <row r="1227" spans="1:6">
      <c r="A1227" s="524"/>
      <c r="B1227" s="51" t="s">
        <v>281</v>
      </c>
      <c r="C1227" s="524">
        <v>13.2</v>
      </c>
      <c r="D1227" s="52" t="s">
        <v>15</v>
      </c>
      <c r="E1227" s="593" t="s">
        <v>18</v>
      </c>
      <c r="F1227" s="706"/>
    </row>
    <row r="1228" spans="1:6">
      <c r="A1228" s="66"/>
      <c r="B1228" s="67" t="s">
        <v>282</v>
      </c>
      <c r="C1228" s="524">
        <v>12</v>
      </c>
      <c r="D1228" s="52" t="s">
        <v>15</v>
      </c>
      <c r="E1228" s="593" t="s">
        <v>42</v>
      </c>
      <c r="F1228" s="706"/>
    </row>
    <row r="1229" spans="1:6">
      <c r="A1229" s="66"/>
      <c r="B1229" s="67" t="s">
        <v>45</v>
      </c>
      <c r="C1229" s="524">
        <v>11.1</v>
      </c>
      <c r="D1229" s="52" t="s">
        <v>15</v>
      </c>
      <c r="E1229" s="593" t="s">
        <v>28</v>
      </c>
      <c r="F1229" s="706"/>
    </row>
    <row r="1230" spans="1:6">
      <c r="A1230" s="524" t="s">
        <v>37</v>
      </c>
      <c r="B1230" s="50" t="s">
        <v>177</v>
      </c>
      <c r="C1230" s="78">
        <v>43.3</v>
      </c>
      <c r="D1230" s="60" t="s">
        <v>72</v>
      </c>
      <c r="E1230" s="589" t="s">
        <v>9</v>
      </c>
      <c r="F1230" s="706"/>
    </row>
    <row r="1231" spans="1:6">
      <c r="A1231" s="532"/>
      <c r="B1231" s="51" t="s">
        <v>283</v>
      </c>
      <c r="C1231" s="532">
        <v>43.3</v>
      </c>
      <c r="D1231" s="52" t="s">
        <v>15</v>
      </c>
      <c r="E1231" s="594" t="s">
        <v>18</v>
      </c>
      <c r="F1231" s="707"/>
    </row>
    <row r="1232" spans="1:6">
      <c r="A1232" s="68">
        <v>2</v>
      </c>
      <c r="B1232" s="120" t="s">
        <v>679</v>
      </c>
      <c r="C1232" s="466">
        <f>C1233+C1248+C1250</f>
        <v>943.1</v>
      </c>
      <c r="D1232" s="68"/>
      <c r="E1232" s="595"/>
      <c r="F1232" s="724" t="s">
        <v>284</v>
      </c>
    </row>
    <row r="1233" spans="1:6">
      <c r="A1233" s="69" t="s">
        <v>11</v>
      </c>
      <c r="B1233" s="70" t="s">
        <v>12</v>
      </c>
      <c r="C1233" s="71">
        <f>+C1234+C1235+C1236+C1237+C1238+C1239+C1246+C1247</f>
        <v>504.90000000000003</v>
      </c>
      <c r="D1233" s="60" t="s">
        <v>72</v>
      </c>
      <c r="E1233" s="589" t="s">
        <v>9</v>
      </c>
      <c r="F1233" s="709"/>
    </row>
    <row r="1234" spans="1:6">
      <c r="A1234" s="69" t="s">
        <v>11</v>
      </c>
      <c r="B1234" s="72" t="s">
        <v>285</v>
      </c>
      <c r="C1234" s="69">
        <v>39.799999999999997</v>
      </c>
      <c r="D1234" s="73" t="s">
        <v>15</v>
      </c>
      <c r="E1234" s="593" t="s">
        <v>18</v>
      </c>
      <c r="F1234" s="709"/>
    </row>
    <row r="1235" spans="1:6">
      <c r="A1235" s="69"/>
      <c r="B1235" s="72" t="s">
        <v>39</v>
      </c>
      <c r="C1235" s="69">
        <v>133.69999999999999</v>
      </c>
      <c r="D1235" s="73" t="s">
        <v>15</v>
      </c>
      <c r="E1235" s="593" t="s">
        <v>18</v>
      </c>
      <c r="F1235" s="709"/>
    </row>
    <row r="1236" spans="1:6">
      <c r="A1236" s="69"/>
      <c r="B1236" s="72" t="s">
        <v>286</v>
      </c>
      <c r="C1236" s="69">
        <v>47.3</v>
      </c>
      <c r="D1236" s="73" t="s">
        <v>15</v>
      </c>
      <c r="E1236" s="593" t="s">
        <v>18</v>
      </c>
      <c r="F1236" s="709"/>
    </row>
    <row r="1237" spans="1:6">
      <c r="A1237" s="69"/>
      <c r="B1237" s="72" t="s">
        <v>45</v>
      </c>
      <c r="C1237" s="69">
        <v>36.799999999999997</v>
      </c>
      <c r="D1237" s="73" t="s">
        <v>15</v>
      </c>
      <c r="E1237" s="593" t="s">
        <v>28</v>
      </c>
      <c r="F1237" s="709"/>
    </row>
    <row r="1238" spans="1:6">
      <c r="A1238" s="69"/>
      <c r="B1238" s="72" t="s">
        <v>287</v>
      </c>
      <c r="C1238" s="69">
        <v>5</v>
      </c>
      <c r="D1238" s="73" t="s">
        <v>15</v>
      </c>
      <c r="E1238" s="593" t="s">
        <v>18</v>
      </c>
      <c r="F1238" s="709"/>
    </row>
    <row r="1239" spans="1:6">
      <c r="A1239" s="69"/>
      <c r="B1239" s="72" t="s">
        <v>36</v>
      </c>
      <c r="C1239" s="69">
        <v>159.80000000000001</v>
      </c>
      <c r="D1239" s="73" t="s">
        <v>15</v>
      </c>
      <c r="E1239" s="593" t="s">
        <v>18</v>
      </c>
      <c r="F1239" s="709"/>
    </row>
    <row r="1240" spans="1:6">
      <c r="A1240" s="69"/>
      <c r="B1240" s="72" t="s">
        <v>285</v>
      </c>
      <c r="C1240" s="69">
        <v>39.799999999999997</v>
      </c>
      <c r="D1240" s="73" t="s">
        <v>15</v>
      </c>
      <c r="E1240" s="593" t="s">
        <v>18</v>
      </c>
      <c r="F1240" s="709"/>
    </row>
    <row r="1241" spans="1:6">
      <c r="A1241" s="69"/>
      <c r="B1241" s="72" t="s">
        <v>39</v>
      </c>
      <c r="C1241" s="69">
        <v>133.69999999999999</v>
      </c>
      <c r="D1241" s="73" t="s">
        <v>15</v>
      </c>
      <c r="E1241" s="593" t="s">
        <v>18</v>
      </c>
      <c r="F1241" s="709"/>
    </row>
    <row r="1242" spans="1:6">
      <c r="A1242" s="69"/>
      <c r="B1242" s="72" t="s">
        <v>288</v>
      </c>
      <c r="C1242" s="69">
        <v>47.3</v>
      </c>
      <c r="D1242" s="73" t="s">
        <v>15</v>
      </c>
      <c r="E1242" s="593" t="s">
        <v>18</v>
      </c>
      <c r="F1242" s="709"/>
    </row>
    <row r="1243" spans="1:6">
      <c r="A1243" s="69"/>
      <c r="B1243" s="72" t="s">
        <v>287</v>
      </c>
      <c r="C1243" s="69">
        <v>5</v>
      </c>
      <c r="D1243" s="73" t="s">
        <v>15</v>
      </c>
      <c r="E1243" s="593" t="s">
        <v>18</v>
      </c>
      <c r="F1243" s="709"/>
    </row>
    <row r="1244" spans="1:6">
      <c r="A1244" s="69"/>
      <c r="B1244" s="72" t="s">
        <v>289</v>
      </c>
      <c r="C1244" s="69">
        <v>36.799999999999997</v>
      </c>
      <c r="D1244" s="73" t="s">
        <v>15</v>
      </c>
      <c r="E1244" s="593" t="s">
        <v>28</v>
      </c>
      <c r="F1244" s="709"/>
    </row>
    <row r="1245" spans="1:6">
      <c r="A1245" s="69"/>
      <c r="B1245" s="72" t="s">
        <v>36</v>
      </c>
      <c r="C1245" s="69">
        <v>159.80000000000001</v>
      </c>
      <c r="D1245" s="73" t="s">
        <v>15</v>
      </c>
      <c r="E1245" s="593" t="s">
        <v>18</v>
      </c>
      <c r="F1245" s="709"/>
    </row>
    <row r="1246" spans="1:6">
      <c r="A1246" s="69"/>
      <c r="B1246" s="72" t="s">
        <v>36</v>
      </c>
      <c r="C1246" s="69">
        <v>71.2</v>
      </c>
      <c r="D1246" s="73" t="s">
        <v>15</v>
      </c>
      <c r="E1246" s="593" t="s">
        <v>28</v>
      </c>
      <c r="F1246" s="709"/>
    </row>
    <row r="1247" spans="1:6">
      <c r="A1247" s="69"/>
      <c r="B1247" s="72" t="s">
        <v>36</v>
      </c>
      <c r="C1247" s="69">
        <v>11.3</v>
      </c>
      <c r="D1247" s="73" t="s">
        <v>15</v>
      </c>
      <c r="E1247" s="593" t="s">
        <v>42</v>
      </c>
      <c r="F1247" s="709"/>
    </row>
    <row r="1248" spans="1:6">
      <c r="A1248" s="69" t="s">
        <v>29</v>
      </c>
      <c r="B1248" s="70" t="s">
        <v>30</v>
      </c>
      <c r="C1248" s="71">
        <v>94.2</v>
      </c>
      <c r="D1248" s="60" t="s">
        <v>72</v>
      </c>
      <c r="E1248" s="589" t="s">
        <v>9</v>
      </c>
      <c r="F1248" s="709"/>
    </row>
    <row r="1249" spans="1:6">
      <c r="A1249" s="69"/>
      <c r="B1249" s="72" t="s">
        <v>290</v>
      </c>
      <c r="C1249" s="69">
        <v>94.2</v>
      </c>
      <c r="D1249" s="73" t="s">
        <v>15</v>
      </c>
      <c r="E1249" s="593" t="s">
        <v>18</v>
      </c>
      <c r="F1249" s="709"/>
    </row>
    <row r="1250" spans="1:6">
      <c r="A1250" s="69" t="s">
        <v>37</v>
      </c>
      <c r="B1250" s="74" t="s">
        <v>180</v>
      </c>
      <c r="C1250" s="71">
        <f>C1251+C1252+C1253+C1254+C1255</f>
        <v>344</v>
      </c>
      <c r="D1250" s="60" t="s">
        <v>72</v>
      </c>
      <c r="E1250" s="589" t="s">
        <v>9</v>
      </c>
      <c r="F1250" s="709"/>
    </row>
    <row r="1251" spans="1:6" ht="25.5">
      <c r="A1251" s="62"/>
      <c r="B1251" s="62" t="s">
        <v>981</v>
      </c>
      <c r="C1251" s="69">
        <v>33.200000000000003</v>
      </c>
      <c r="D1251" s="73" t="s">
        <v>15</v>
      </c>
      <c r="E1251" s="593" t="s">
        <v>18</v>
      </c>
      <c r="F1251" s="709"/>
    </row>
    <row r="1252" spans="1:6">
      <c r="A1252" s="62"/>
      <c r="B1252" s="62" t="s">
        <v>215</v>
      </c>
      <c r="C1252" s="69">
        <v>68.900000000000006</v>
      </c>
      <c r="D1252" s="73" t="s">
        <v>15</v>
      </c>
      <c r="E1252" s="593" t="s">
        <v>18</v>
      </c>
      <c r="F1252" s="709"/>
    </row>
    <row r="1253" spans="1:6">
      <c r="A1253" s="62"/>
      <c r="B1253" s="62" t="s">
        <v>34</v>
      </c>
      <c r="C1253" s="69">
        <v>62.6</v>
      </c>
      <c r="D1253" s="73" t="s">
        <v>15</v>
      </c>
      <c r="E1253" s="593" t="s">
        <v>18</v>
      </c>
      <c r="F1253" s="709"/>
    </row>
    <row r="1254" spans="1:6">
      <c r="A1254" s="62"/>
      <c r="B1254" s="62" t="s">
        <v>291</v>
      </c>
      <c r="C1254" s="69">
        <v>75.599999999999994</v>
      </c>
      <c r="D1254" s="73" t="s">
        <v>15</v>
      </c>
      <c r="E1254" s="593" t="s">
        <v>18</v>
      </c>
      <c r="F1254" s="709"/>
    </row>
    <row r="1255" spans="1:6">
      <c r="A1255" s="64"/>
      <c r="B1255" s="64" t="s">
        <v>292</v>
      </c>
      <c r="C1255" s="75">
        <v>103.7</v>
      </c>
      <c r="D1255" s="76" t="s">
        <v>15</v>
      </c>
      <c r="E1255" s="594" t="s">
        <v>42</v>
      </c>
      <c r="F1255" s="725"/>
    </row>
    <row r="1256" spans="1:6">
      <c r="A1256" s="533">
        <v>3</v>
      </c>
      <c r="B1256" s="124" t="s">
        <v>679</v>
      </c>
      <c r="C1256" s="467">
        <f>C1257+C1265+C1268</f>
        <v>820.59999999999991</v>
      </c>
      <c r="D1256" s="524"/>
      <c r="E1256" s="593"/>
      <c r="F1256" s="708" t="s">
        <v>293</v>
      </c>
    </row>
    <row r="1257" spans="1:6">
      <c r="A1257" s="524"/>
      <c r="B1257" s="79" t="s">
        <v>30</v>
      </c>
      <c r="C1257" s="78">
        <f>C1258+C1259+C1260+C1261+C1262+C1263+C1264</f>
        <v>589.09999999999991</v>
      </c>
      <c r="D1257" s="60" t="s">
        <v>72</v>
      </c>
      <c r="E1257" s="589" t="s">
        <v>9</v>
      </c>
      <c r="F1257" s="706"/>
    </row>
    <row r="1258" spans="1:6">
      <c r="A1258" s="524" t="s">
        <v>11</v>
      </c>
      <c r="B1258" s="80" t="s">
        <v>17</v>
      </c>
      <c r="C1258" s="524">
        <v>25.8</v>
      </c>
      <c r="D1258" s="60" t="s">
        <v>15</v>
      </c>
      <c r="E1258" s="593" t="s">
        <v>18</v>
      </c>
      <c r="F1258" s="706"/>
    </row>
    <row r="1259" spans="1:6">
      <c r="A1259" s="524"/>
      <c r="B1259" s="80" t="s">
        <v>39</v>
      </c>
      <c r="C1259" s="524">
        <v>65.900000000000006</v>
      </c>
      <c r="D1259" s="60" t="s">
        <v>15</v>
      </c>
      <c r="E1259" s="593" t="s">
        <v>18</v>
      </c>
      <c r="F1259" s="706"/>
    </row>
    <row r="1260" spans="1:6">
      <c r="A1260" s="524"/>
      <c r="B1260" s="80" t="s">
        <v>294</v>
      </c>
      <c r="C1260" s="524">
        <v>32.4</v>
      </c>
      <c r="D1260" s="60" t="s">
        <v>15</v>
      </c>
      <c r="E1260" s="593" t="s">
        <v>18</v>
      </c>
      <c r="F1260" s="706"/>
    </row>
    <row r="1261" spans="1:6">
      <c r="A1261" s="524"/>
      <c r="B1261" s="80" t="s">
        <v>130</v>
      </c>
      <c r="C1261" s="524">
        <v>31.6</v>
      </c>
      <c r="D1261" s="60" t="s">
        <v>15</v>
      </c>
      <c r="E1261" s="593" t="s">
        <v>18</v>
      </c>
      <c r="F1261" s="706"/>
    </row>
    <row r="1262" spans="1:6">
      <c r="A1262" s="524"/>
      <c r="B1262" s="80" t="s">
        <v>36</v>
      </c>
      <c r="C1262" s="524">
        <v>378.1</v>
      </c>
      <c r="D1262" s="60" t="s">
        <v>15</v>
      </c>
      <c r="E1262" s="593" t="s">
        <v>18</v>
      </c>
      <c r="F1262" s="706"/>
    </row>
    <row r="1263" spans="1:6">
      <c r="A1263" s="524"/>
      <c r="B1263" s="80" t="s">
        <v>36</v>
      </c>
      <c r="C1263" s="524">
        <v>53</v>
      </c>
      <c r="D1263" s="60" t="s">
        <v>15</v>
      </c>
      <c r="E1263" s="593" t="s">
        <v>42</v>
      </c>
      <c r="F1263" s="706"/>
    </row>
    <row r="1264" spans="1:6">
      <c r="A1264" s="524"/>
      <c r="B1264" s="80" t="s">
        <v>36</v>
      </c>
      <c r="C1264" s="524">
        <v>2.2999999999999998</v>
      </c>
      <c r="D1264" s="60" t="s">
        <v>15</v>
      </c>
      <c r="E1264" s="593" t="s">
        <v>28</v>
      </c>
      <c r="F1264" s="706"/>
    </row>
    <row r="1265" spans="1:6">
      <c r="A1265" s="524"/>
      <c r="B1265" s="79" t="s">
        <v>180</v>
      </c>
      <c r="C1265" s="78">
        <v>109.5</v>
      </c>
      <c r="D1265" s="60"/>
      <c r="E1265" s="593"/>
      <c r="F1265" s="706"/>
    </row>
    <row r="1266" spans="1:6">
      <c r="A1266" s="524" t="s">
        <v>29</v>
      </c>
      <c r="B1266" s="66" t="s">
        <v>295</v>
      </c>
      <c r="C1266" s="524">
        <v>109.5</v>
      </c>
      <c r="D1266" s="60" t="s">
        <v>15</v>
      </c>
      <c r="E1266" s="593" t="s">
        <v>42</v>
      </c>
      <c r="F1266" s="706"/>
    </row>
    <row r="1267" spans="1:6">
      <c r="A1267" s="524"/>
      <c r="B1267" s="77" t="s">
        <v>296</v>
      </c>
      <c r="C1267" s="78">
        <v>122</v>
      </c>
      <c r="D1267" s="524"/>
      <c r="E1267" s="593"/>
      <c r="F1267" s="706"/>
    </row>
    <row r="1268" spans="1:6">
      <c r="A1268" s="524"/>
      <c r="B1268" s="79" t="s">
        <v>297</v>
      </c>
      <c r="C1268" s="78">
        <f>+C1269+C1270+C1272+C1273+C1274</f>
        <v>122</v>
      </c>
      <c r="D1268" s="60" t="s">
        <v>72</v>
      </c>
      <c r="E1268" s="589" t="s">
        <v>9</v>
      </c>
      <c r="F1268" s="706"/>
    </row>
    <row r="1269" spans="1:6">
      <c r="A1269" s="524" t="s">
        <v>37</v>
      </c>
      <c r="B1269" s="80" t="s">
        <v>298</v>
      </c>
      <c r="C1269" s="524">
        <v>47.2</v>
      </c>
      <c r="D1269" s="60" t="s">
        <v>15</v>
      </c>
      <c r="E1269" s="593" t="s">
        <v>18</v>
      </c>
      <c r="F1269" s="706"/>
    </row>
    <row r="1270" spans="1:6">
      <c r="A1270" s="524"/>
      <c r="B1270" s="80" t="s">
        <v>21</v>
      </c>
      <c r="C1270" s="524">
        <v>2.5</v>
      </c>
      <c r="D1270" s="60" t="s">
        <v>22</v>
      </c>
      <c r="E1270" s="593" t="s">
        <v>18</v>
      </c>
      <c r="F1270" s="706"/>
    </row>
    <row r="1271" spans="1:6">
      <c r="A1271" s="524"/>
      <c r="B1271" s="80"/>
      <c r="C1271" s="524"/>
      <c r="D1271" s="60" t="s">
        <v>67</v>
      </c>
      <c r="E1271" s="593" t="s">
        <v>277</v>
      </c>
      <c r="F1271" s="706"/>
    </row>
    <row r="1272" spans="1:6">
      <c r="A1272" s="524"/>
      <c r="B1272" s="80" t="s">
        <v>34</v>
      </c>
      <c r="C1272" s="524">
        <v>58.5</v>
      </c>
      <c r="D1272" s="60" t="s">
        <v>15</v>
      </c>
      <c r="E1272" s="593" t="s">
        <v>18</v>
      </c>
      <c r="F1272" s="706"/>
    </row>
    <row r="1273" spans="1:6">
      <c r="A1273" s="524"/>
      <c r="B1273" s="80" t="s">
        <v>130</v>
      </c>
      <c r="C1273" s="524">
        <v>10.5</v>
      </c>
      <c r="D1273" s="60" t="s">
        <v>15</v>
      </c>
      <c r="E1273" s="593" t="s">
        <v>18</v>
      </c>
      <c r="F1273" s="706"/>
    </row>
    <row r="1274" spans="1:6">
      <c r="A1274" s="524"/>
      <c r="B1274" s="80" t="s">
        <v>39</v>
      </c>
      <c r="C1274" s="524">
        <v>3.3</v>
      </c>
      <c r="D1274" s="60" t="s">
        <v>15</v>
      </c>
      <c r="E1274" s="593" t="s">
        <v>18</v>
      </c>
      <c r="F1274" s="706"/>
    </row>
    <row r="1275" spans="1:6">
      <c r="A1275" s="533">
        <v>4</v>
      </c>
      <c r="B1275" s="125" t="s">
        <v>679</v>
      </c>
      <c r="C1275" s="464">
        <f>C1276+C1283+C1290</f>
        <v>715.9</v>
      </c>
      <c r="D1275" s="533"/>
      <c r="E1275" s="595"/>
      <c r="F1275" s="708" t="s">
        <v>978</v>
      </c>
    </row>
    <row r="1276" spans="1:6">
      <c r="A1276" s="524"/>
      <c r="B1276" s="79" t="s">
        <v>30</v>
      </c>
      <c r="C1276" s="78">
        <f>+C1277+C1278+C1280+C1281+C1282</f>
        <v>547.5</v>
      </c>
      <c r="D1276" s="60" t="s">
        <v>72</v>
      </c>
      <c r="E1276" s="589" t="s">
        <v>9</v>
      </c>
      <c r="F1276" s="706"/>
    </row>
    <row r="1277" spans="1:6">
      <c r="A1277" s="524" t="s">
        <v>11</v>
      </c>
      <c r="B1277" s="80" t="s">
        <v>17</v>
      </c>
      <c r="C1277" s="524">
        <v>199.1</v>
      </c>
      <c r="D1277" s="60" t="s">
        <v>15</v>
      </c>
      <c r="E1277" s="593" t="s">
        <v>18</v>
      </c>
      <c r="F1277" s="706"/>
    </row>
    <row r="1278" spans="1:6">
      <c r="A1278" s="524"/>
      <c r="B1278" s="80" t="s">
        <v>21</v>
      </c>
      <c r="C1278" s="524">
        <v>19.7</v>
      </c>
      <c r="D1278" s="60" t="s">
        <v>22</v>
      </c>
      <c r="E1278" s="593" t="s">
        <v>18</v>
      </c>
      <c r="F1278" s="706"/>
    </row>
    <row r="1279" spans="1:6">
      <c r="A1279" s="524"/>
      <c r="B1279" s="80" t="s">
        <v>214</v>
      </c>
      <c r="C1279" s="524"/>
      <c r="D1279" s="60" t="s">
        <v>67</v>
      </c>
      <c r="E1279" s="593" t="s">
        <v>68</v>
      </c>
      <c r="F1279" s="706"/>
    </row>
    <row r="1280" spans="1:6">
      <c r="A1280" s="524"/>
      <c r="B1280" s="80" t="s">
        <v>39</v>
      </c>
      <c r="C1280" s="524">
        <v>122.7</v>
      </c>
      <c r="D1280" s="60" t="s">
        <v>15</v>
      </c>
      <c r="E1280" s="593" t="s">
        <v>18</v>
      </c>
      <c r="F1280" s="706"/>
    </row>
    <row r="1281" spans="1:6">
      <c r="A1281" s="66"/>
      <c r="B1281" s="80" t="s">
        <v>36</v>
      </c>
      <c r="C1281" s="524">
        <v>194.7</v>
      </c>
      <c r="D1281" s="60" t="s">
        <v>15</v>
      </c>
      <c r="E1281" s="593" t="s">
        <v>18</v>
      </c>
      <c r="F1281" s="706"/>
    </row>
    <row r="1282" spans="1:6">
      <c r="A1282" s="66"/>
      <c r="B1282" s="66" t="s">
        <v>130</v>
      </c>
      <c r="C1282" s="524">
        <v>11.3</v>
      </c>
      <c r="D1282" s="60" t="s">
        <v>15</v>
      </c>
      <c r="E1282" s="593" t="s">
        <v>18</v>
      </c>
      <c r="F1282" s="706"/>
    </row>
    <row r="1283" spans="1:6">
      <c r="A1283" s="66"/>
      <c r="B1283" s="81" t="s">
        <v>300</v>
      </c>
      <c r="C1283" s="78">
        <f>+C1284+C1285+C1286+C1287+C1288</f>
        <v>68</v>
      </c>
      <c r="D1283" s="524">
        <v>7</v>
      </c>
      <c r="E1283" s="593" t="s">
        <v>9</v>
      </c>
      <c r="F1283" s="706"/>
    </row>
    <row r="1284" spans="1:6">
      <c r="A1284" s="66" t="s">
        <v>29</v>
      </c>
      <c r="B1284" s="66" t="s">
        <v>17</v>
      </c>
      <c r="C1284" s="524">
        <v>23.6</v>
      </c>
      <c r="D1284" s="60" t="s">
        <v>15</v>
      </c>
      <c r="E1284" s="593" t="s">
        <v>18</v>
      </c>
      <c r="F1284" s="706"/>
    </row>
    <row r="1285" spans="1:6">
      <c r="A1285" s="66"/>
      <c r="B1285" s="66" t="s">
        <v>301</v>
      </c>
      <c r="C1285" s="524">
        <v>3.8</v>
      </c>
      <c r="D1285" s="60" t="s">
        <v>15</v>
      </c>
      <c r="E1285" s="593" t="s">
        <v>18</v>
      </c>
      <c r="F1285" s="706"/>
    </row>
    <row r="1286" spans="1:6">
      <c r="A1286" s="66"/>
      <c r="B1286" s="66" t="s">
        <v>39</v>
      </c>
      <c r="C1286" s="524">
        <v>6.8</v>
      </c>
      <c r="D1286" s="60" t="s">
        <v>15</v>
      </c>
      <c r="E1286" s="593" t="s">
        <v>18</v>
      </c>
      <c r="F1286" s="706"/>
    </row>
    <row r="1287" spans="1:6">
      <c r="A1287" s="66"/>
      <c r="B1287" s="66" t="s">
        <v>302</v>
      </c>
      <c r="C1287" s="524">
        <v>30</v>
      </c>
      <c r="D1287" s="60" t="s">
        <v>15</v>
      </c>
      <c r="E1287" s="593" t="s">
        <v>18</v>
      </c>
      <c r="F1287" s="706"/>
    </row>
    <row r="1288" spans="1:6">
      <c r="A1288" s="66"/>
      <c r="B1288" s="80" t="s">
        <v>21</v>
      </c>
      <c r="C1288" s="524">
        <v>3.8</v>
      </c>
      <c r="D1288" s="60" t="s">
        <v>22</v>
      </c>
      <c r="E1288" s="593" t="s">
        <v>18</v>
      </c>
      <c r="F1288" s="706"/>
    </row>
    <row r="1289" spans="1:6">
      <c r="A1289" s="66"/>
      <c r="B1289" s="79"/>
      <c r="C1289" s="524"/>
      <c r="D1289" s="60" t="s">
        <v>67</v>
      </c>
      <c r="E1289" s="593" t="s">
        <v>68</v>
      </c>
      <c r="F1289" s="706"/>
    </row>
    <row r="1290" spans="1:6">
      <c r="A1290" s="66"/>
      <c r="B1290" s="79" t="s">
        <v>177</v>
      </c>
      <c r="C1290" s="78">
        <v>100.4</v>
      </c>
      <c r="D1290" s="60"/>
      <c r="E1290" s="593"/>
      <c r="F1290" s="706"/>
    </row>
    <row r="1291" spans="1:6">
      <c r="A1291" s="82" t="s">
        <v>37</v>
      </c>
      <c r="B1291" s="66" t="s">
        <v>218</v>
      </c>
      <c r="C1291" s="524">
        <v>100.4</v>
      </c>
      <c r="D1291" s="60" t="s">
        <v>15</v>
      </c>
      <c r="E1291" s="593" t="s">
        <v>18</v>
      </c>
      <c r="F1291" s="706"/>
    </row>
    <row r="1292" spans="1:6">
      <c r="A1292" s="533">
        <v>5</v>
      </c>
      <c r="B1292" s="125" t="s">
        <v>679</v>
      </c>
      <c r="C1292" s="464">
        <v>744.4</v>
      </c>
      <c r="D1292" s="533"/>
      <c r="E1292" s="595"/>
      <c r="F1292" s="708" t="s">
        <v>299</v>
      </c>
    </row>
    <row r="1293" spans="1:6">
      <c r="A1293" s="524"/>
      <c r="B1293" s="79" t="s">
        <v>38</v>
      </c>
      <c r="C1293" s="78">
        <f>+C1294+C1295+C1297+C1298+C1299+C1300+C1301</f>
        <v>744.39999999999986</v>
      </c>
      <c r="D1293" s="60" t="s">
        <v>72</v>
      </c>
      <c r="E1293" s="589" t="s">
        <v>9</v>
      </c>
      <c r="F1293" s="706"/>
    </row>
    <row r="1294" spans="1:6">
      <c r="A1294" s="524" t="s">
        <v>11</v>
      </c>
      <c r="B1294" s="80" t="s">
        <v>39</v>
      </c>
      <c r="C1294" s="524">
        <v>21</v>
      </c>
      <c r="D1294" s="60" t="s">
        <v>15</v>
      </c>
      <c r="E1294" s="593" t="s">
        <v>18</v>
      </c>
      <c r="F1294" s="706"/>
    </row>
    <row r="1295" spans="1:6">
      <c r="A1295" s="524"/>
      <c r="B1295" s="80" t="s">
        <v>21</v>
      </c>
      <c r="C1295" s="524">
        <v>35.1</v>
      </c>
      <c r="D1295" s="60" t="s">
        <v>22</v>
      </c>
      <c r="E1295" s="593" t="s">
        <v>18</v>
      </c>
      <c r="F1295" s="706"/>
    </row>
    <row r="1296" spans="1:6">
      <c r="A1296" s="524"/>
      <c r="B1296" s="80"/>
      <c r="C1296" s="524"/>
      <c r="D1296" s="60" t="s">
        <v>67</v>
      </c>
      <c r="E1296" s="593" t="s">
        <v>277</v>
      </c>
      <c r="F1296" s="706"/>
    </row>
    <row r="1297" spans="1:6">
      <c r="A1297" s="524"/>
      <c r="B1297" s="80" t="s">
        <v>34</v>
      </c>
      <c r="C1297" s="524">
        <v>8.1999999999999993</v>
      </c>
      <c r="D1297" s="60" t="s">
        <v>15</v>
      </c>
      <c r="E1297" s="593" t="s">
        <v>18</v>
      </c>
      <c r="F1297" s="706"/>
    </row>
    <row r="1298" spans="1:6">
      <c r="A1298" s="524"/>
      <c r="B1298" s="80" t="s">
        <v>130</v>
      </c>
      <c r="C1298" s="524">
        <v>19.5</v>
      </c>
      <c r="D1298" s="60" t="s">
        <v>15</v>
      </c>
      <c r="E1298" s="593" t="s">
        <v>18</v>
      </c>
      <c r="F1298" s="706"/>
    </row>
    <row r="1299" spans="1:6">
      <c r="A1299" s="524"/>
      <c r="B1299" s="80" t="s">
        <v>36</v>
      </c>
      <c r="C1299" s="524">
        <v>597.5</v>
      </c>
      <c r="D1299" s="60" t="s">
        <v>15</v>
      </c>
      <c r="E1299" s="593" t="s">
        <v>18</v>
      </c>
      <c r="F1299" s="706"/>
    </row>
    <row r="1300" spans="1:6">
      <c r="A1300" s="524"/>
      <c r="B1300" s="80" t="s">
        <v>36</v>
      </c>
      <c r="C1300" s="524">
        <v>52.3</v>
      </c>
      <c r="D1300" s="60" t="s">
        <v>15</v>
      </c>
      <c r="E1300" s="593" t="s">
        <v>28</v>
      </c>
      <c r="F1300" s="706"/>
    </row>
    <row r="1301" spans="1:6">
      <c r="A1301" s="66"/>
      <c r="B1301" s="66" t="s">
        <v>45</v>
      </c>
      <c r="C1301" s="524">
        <v>10.8</v>
      </c>
      <c r="D1301" s="60" t="s">
        <v>15</v>
      </c>
      <c r="E1301" s="593" t="s">
        <v>18</v>
      </c>
      <c r="F1301" s="706"/>
    </row>
    <row r="1302" spans="1:6">
      <c r="A1302" s="533">
        <v>6</v>
      </c>
      <c r="B1302" s="119" t="s">
        <v>679</v>
      </c>
      <c r="C1302" s="466">
        <f>C1303+C1311+C1318</f>
        <v>897</v>
      </c>
      <c r="D1302" s="68"/>
      <c r="E1302" s="595"/>
      <c r="F1302" s="708" t="s">
        <v>303</v>
      </c>
    </row>
    <row r="1303" spans="1:6">
      <c r="A1303" s="524"/>
      <c r="B1303" s="50" t="s">
        <v>38</v>
      </c>
      <c r="C1303" s="71">
        <f>+C1304+C1305+C1307+C1308+C1309+C1310</f>
        <v>372.19999999999993</v>
      </c>
      <c r="D1303" s="60" t="s">
        <v>72</v>
      </c>
      <c r="E1303" s="589" t="s">
        <v>9</v>
      </c>
      <c r="F1303" s="706"/>
    </row>
    <row r="1304" spans="1:6">
      <c r="A1304" s="524" t="s">
        <v>11</v>
      </c>
      <c r="B1304" s="51" t="s">
        <v>17</v>
      </c>
      <c r="C1304" s="69">
        <v>240.7</v>
      </c>
      <c r="D1304" s="73" t="s">
        <v>15</v>
      </c>
      <c r="E1304" s="593" t="s">
        <v>18</v>
      </c>
      <c r="F1304" s="706"/>
    </row>
    <row r="1305" spans="1:6">
      <c r="A1305" s="524"/>
      <c r="B1305" s="51" t="s">
        <v>21</v>
      </c>
      <c r="C1305" s="69">
        <v>10.199999999999999</v>
      </c>
      <c r="D1305" s="73" t="s">
        <v>22</v>
      </c>
      <c r="E1305" s="593" t="s">
        <v>18</v>
      </c>
      <c r="F1305" s="706"/>
    </row>
    <row r="1306" spans="1:6">
      <c r="A1306" s="524"/>
      <c r="B1306" s="51" t="s">
        <v>214</v>
      </c>
      <c r="C1306" s="69"/>
      <c r="D1306" s="73" t="s">
        <v>67</v>
      </c>
      <c r="E1306" s="593" t="s">
        <v>68</v>
      </c>
      <c r="F1306" s="706"/>
    </row>
    <row r="1307" spans="1:6">
      <c r="A1307" s="524"/>
      <c r="B1307" s="51" t="s">
        <v>40</v>
      </c>
      <c r="C1307" s="69">
        <v>42.5</v>
      </c>
      <c r="D1307" s="73" t="s">
        <v>15</v>
      </c>
      <c r="E1307" s="593" t="s">
        <v>18</v>
      </c>
      <c r="F1307" s="706"/>
    </row>
    <row r="1308" spans="1:6">
      <c r="A1308" s="524"/>
      <c r="B1308" s="51" t="s">
        <v>222</v>
      </c>
      <c r="C1308" s="69">
        <v>10.7</v>
      </c>
      <c r="D1308" s="73" t="s">
        <v>15</v>
      </c>
      <c r="E1308" s="593" t="s">
        <v>18</v>
      </c>
      <c r="F1308" s="706"/>
    </row>
    <row r="1309" spans="1:6">
      <c r="A1309" s="66"/>
      <c r="B1309" s="67" t="s">
        <v>304</v>
      </c>
      <c r="C1309" s="69">
        <v>62.4</v>
      </c>
      <c r="D1309" s="73" t="s">
        <v>15</v>
      </c>
      <c r="E1309" s="593" t="s">
        <v>68</v>
      </c>
      <c r="F1309" s="706"/>
    </row>
    <row r="1310" spans="1:6">
      <c r="A1310" s="66"/>
      <c r="B1310" s="67" t="s">
        <v>218</v>
      </c>
      <c r="C1310" s="69">
        <v>5.7</v>
      </c>
      <c r="D1310" s="73" t="s">
        <v>15</v>
      </c>
      <c r="E1310" s="593" t="s">
        <v>18</v>
      </c>
      <c r="F1310" s="706"/>
    </row>
    <row r="1311" spans="1:6">
      <c r="A1311" s="66"/>
      <c r="B1311" s="50" t="s">
        <v>30</v>
      </c>
      <c r="C1311" s="71">
        <f>+C1312+C1314+C1315+C1316+C1317</f>
        <v>386.8</v>
      </c>
      <c r="D1311" s="60" t="s">
        <v>72</v>
      </c>
      <c r="E1311" s="589" t="s">
        <v>9</v>
      </c>
      <c r="F1311" s="706"/>
    </row>
    <row r="1312" spans="1:6">
      <c r="A1312" s="524" t="s">
        <v>29</v>
      </c>
      <c r="B1312" s="51" t="s">
        <v>21</v>
      </c>
      <c r="C1312" s="69">
        <v>11.7</v>
      </c>
      <c r="D1312" s="73" t="s">
        <v>22</v>
      </c>
      <c r="E1312" s="593" t="s">
        <v>18</v>
      </c>
      <c r="F1312" s="706"/>
    </row>
    <row r="1313" spans="1:6">
      <c r="A1313" s="66"/>
      <c r="B1313" s="51" t="s">
        <v>214</v>
      </c>
      <c r="C1313" s="69"/>
      <c r="D1313" s="73" t="s">
        <v>67</v>
      </c>
      <c r="E1313" s="593" t="s">
        <v>68</v>
      </c>
      <c r="F1313" s="706"/>
    </row>
    <row r="1314" spans="1:6">
      <c r="A1314" s="66"/>
      <c r="B1314" s="67" t="s">
        <v>159</v>
      </c>
      <c r="C1314" s="69">
        <v>33</v>
      </c>
      <c r="D1314" s="73" t="s">
        <v>15</v>
      </c>
      <c r="E1314" s="593" t="s">
        <v>18</v>
      </c>
      <c r="F1314" s="706"/>
    </row>
    <row r="1315" spans="1:6">
      <c r="A1315" s="66"/>
      <c r="B1315" s="67" t="s">
        <v>41</v>
      </c>
      <c r="C1315" s="69">
        <v>164.9</v>
      </c>
      <c r="D1315" s="73" t="s">
        <v>15</v>
      </c>
      <c r="E1315" s="593" t="s">
        <v>18</v>
      </c>
      <c r="F1315" s="706"/>
    </row>
    <row r="1316" spans="1:6">
      <c r="A1316" s="66"/>
      <c r="B1316" s="67" t="s">
        <v>75</v>
      </c>
      <c r="C1316" s="69">
        <v>130.4</v>
      </c>
      <c r="D1316" s="73" t="s">
        <v>15</v>
      </c>
      <c r="E1316" s="593" t="s">
        <v>68</v>
      </c>
      <c r="F1316" s="706"/>
    </row>
    <row r="1317" spans="1:6">
      <c r="A1317" s="66"/>
      <c r="B1317" s="67" t="s">
        <v>17</v>
      </c>
      <c r="C1317" s="69">
        <v>46.8</v>
      </c>
      <c r="D1317" s="73" t="s">
        <v>15</v>
      </c>
      <c r="E1317" s="593" t="s">
        <v>18</v>
      </c>
      <c r="F1317" s="706"/>
    </row>
    <row r="1318" spans="1:6">
      <c r="A1318" s="66" t="s">
        <v>37</v>
      </c>
      <c r="B1318" s="84" t="s">
        <v>177</v>
      </c>
      <c r="C1318" s="71">
        <f>C1319+C1321+C1322+C1323</f>
        <v>138</v>
      </c>
      <c r="D1318" s="60" t="s">
        <v>72</v>
      </c>
      <c r="E1318" s="589" t="s">
        <v>9</v>
      </c>
      <c r="F1318" s="706"/>
    </row>
    <row r="1319" spans="1:6">
      <c r="A1319" s="66"/>
      <c r="B1319" s="67" t="s">
        <v>17</v>
      </c>
      <c r="C1319" s="69">
        <v>81.400000000000006</v>
      </c>
      <c r="D1319" s="73" t="s">
        <v>15</v>
      </c>
      <c r="E1319" s="593" t="s">
        <v>18</v>
      </c>
      <c r="F1319" s="706"/>
    </row>
    <row r="1320" spans="1:6">
      <c r="A1320" s="66"/>
      <c r="B1320" s="51"/>
      <c r="C1320" s="69"/>
      <c r="D1320" s="73" t="s">
        <v>67</v>
      </c>
      <c r="E1320" s="593" t="s">
        <v>277</v>
      </c>
      <c r="F1320" s="706"/>
    </row>
    <row r="1321" spans="1:6">
      <c r="A1321" s="66"/>
      <c r="B1321" s="67" t="s">
        <v>305</v>
      </c>
      <c r="C1321" s="69">
        <v>17.399999999999999</v>
      </c>
      <c r="D1321" s="73"/>
      <c r="E1321" s="593" t="s">
        <v>18</v>
      </c>
      <c r="F1321" s="706"/>
    </row>
    <row r="1322" spans="1:6">
      <c r="A1322" s="66"/>
      <c r="B1322" s="67" t="s">
        <v>24</v>
      </c>
      <c r="C1322" s="69">
        <v>20</v>
      </c>
      <c r="D1322" s="73" t="s">
        <v>15</v>
      </c>
      <c r="E1322" s="593" t="s">
        <v>28</v>
      </c>
      <c r="F1322" s="706"/>
    </row>
    <row r="1323" spans="1:6">
      <c r="A1323" s="66"/>
      <c r="B1323" s="67" t="s">
        <v>217</v>
      </c>
      <c r="C1323" s="69">
        <v>19.2</v>
      </c>
      <c r="D1323" s="73" t="s">
        <v>15</v>
      </c>
      <c r="E1323" s="593" t="s">
        <v>276</v>
      </c>
      <c r="F1323" s="706"/>
    </row>
    <row r="1324" spans="1:6">
      <c r="A1324" s="82"/>
      <c r="B1324" s="85"/>
      <c r="C1324" s="75"/>
      <c r="D1324" s="76"/>
      <c r="E1324" s="594"/>
      <c r="F1324" s="707"/>
    </row>
    <row r="1325" spans="1:6">
      <c r="A1325" s="524">
        <v>7</v>
      </c>
      <c r="B1325" s="124" t="s">
        <v>679</v>
      </c>
      <c r="C1325" s="467">
        <f>C1326+C1332</f>
        <v>705</v>
      </c>
      <c r="D1325" s="60" t="s">
        <v>72</v>
      </c>
      <c r="E1325" s="589" t="s">
        <v>9</v>
      </c>
      <c r="F1325" s="708" t="s">
        <v>306</v>
      </c>
    </row>
    <row r="1326" spans="1:6">
      <c r="A1326" s="524" t="s">
        <v>214</v>
      </c>
      <c r="B1326" s="79" t="s">
        <v>38</v>
      </c>
      <c r="C1326" s="78">
        <f>+C1327+C1328+C1330+C1331</f>
        <v>448</v>
      </c>
      <c r="D1326" s="524"/>
      <c r="E1326" s="593"/>
      <c r="F1326" s="706"/>
    </row>
    <row r="1327" spans="1:6">
      <c r="A1327" s="524" t="s">
        <v>11</v>
      </c>
      <c r="B1327" s="80" t="s">
        <v>17</v>
      </c>
      <c r="C1327" s="524">
        <v>287.3</v>
      </c>
      <c r="D1327" s="60"/>
      <c r="E1327" s="593"/>
      <c r="F1327" s="706"/>
    </row>
    <row r="1328" spans="1:6">
      <c r="A1328" s="524"/>
      <c r="B1328" s="80" t="s">
        <v>21</v>
      </c>
      <c r="C1328" s="524">
        <v>4.5</v>
      </c>
      <c r="D1328" s="60" t="s">
        <v>22</v>
      </c>
      <c r="E1328" s="593" t="s">
        <v>18</v>
      </c>
      <c r="F1328" s="706"/>
    </row>
    <row r="1329" spans="1:6">
      <c r="A1329" s="524"/>
      <c r="B1329" s="80" t="s">
        <v>214</v>
      </c>
      <c r="C1329" s="524"/>
      <c r="D1329" s="60" t="s">
        <v>67</v>
      </c>
      <c r="E1329" s="593" t="s">
        <v>68</v>
      </c>
      <c r="F1329" s="706"/>
    </row>
    <row r="1330" spans="1:6">
      <c r="A1330" s="524"/>
      <c r="B1330" s="80" t="s">
        <v>39</v>
      </c>
      <c r="C1330" s="524">
        <v>135.69999999999999</v>
      </c>
      <c r="D1330" s="60" t="s">
        <v>15</v>
      </c>
      <c r="E1330" s="593" t="s">
        <v>18</v>
      </c>
      <c r="F1330" s="706"/>
    </row>
    <row r="1331" spans="1:6">
      <c r="A1331" s="524"/>
      <c r="B1331" s="80" t="s">
        <v>130</v>
      </c>
      <c r="C1331" s="524">
        <v>20.5</v>
      </c>
      <c r="D1331" s="60" t="s">
        <v>15</v>
      </c>
      <c r="E1331" s="593" t="s">
        <v>18</v>
      </c>
      <c r="F1331" s="706"/>
    </row>
    <row r="1332" spans="1:6">
      <c r="A1332" s="524"/>
      <c r="B1332" s="79" t="s">
        <v>177</v>
      </c>
      <c r="C1332" s="78">
        <f>C1333+C1334</f>
        <v>257</v>
      </c>
      <c r="D1332" s="60"/>
      <c r="E1332" s="593"/>
      <c r="F1332" s="706"/>
    </row>
    <row r="1333" spans="1:6">
      <c r="A1333" s="524"/>
      <c r="B1333" s="80" t="s">
        <v>17</v>
      </c>
      <c r="C1333" s="524">
        <v>158.19999999999999</v>
      </c>
      <c r="D1333" s="60" t="s">
        <v>15</v>
      </c>
      <c r="E1333" s="593" t="s">
        <v>18</v>
      </c>
      <c r="F1333" s="706"/>
    </row>
    <row r="1334" spans="1:6">
      <c r="A1334" s="532"/>
      <c r="B1334" s="82" t="s">
        <v>39</v>
      </c>
      <c r="C1334" s="532">
        <v>98.8</v>
      </c>
      <c r="D1334" s="61" t="s">
        <v>15</v>
      </c>
      <c r="E1334" s="594" t="s">
        <v>18</v>
      </c>
      <c r="F1334" s="707"/>
    </row>
    <row r="1335" spans="1:6">
      <c r="A1335" s="75"/>
      <c r="B1335" s="85"/>
      <c r="C1335" s="468">
        <f>C1061+C1081+C1104+C1116+C1149+C1178+C1187+C1190+C1207+C1232+C1256+C1275+C1292+C1302+C1325</f>
        <v>10774.76</v>
      </c>
      <c r="D1335" s="54"/>
      <c r="E1335" s="65"/>
      <c r="F1335" s="528"/>
    </row>
    <row r="1336" spans="1:6">
      <c r="A1336" s="718" t="s">
        <v>665</v>
      </c>
      <c r="B1336" s="719"/>
      <c r="C1336" s="719"/>
      <c r="D1336" s="719"/>
      <c r="E1336" s="719"/>
      <c r="F1336" s="720"/>
    </row>
    <row r="1337" spans="1:6">
      <c r="A1337" s="524">
        <v>1</v>
      </c>
      <c r="B1337" s="118" t="s">
        <v>677</v>
      </c>
      <c r="C1337" s="464">
        <v>785.5</v>
      </c>
      <c r="D1337" s="63"/>
      <c r="E1337" s="595"/>
      <c r="F1337" s="709" t="s">
        <v>979</v>
      </c>
    </row>
    <row r="1338" spans="1:6">
      <c r="A1338" s="524" t="s">
        <v>214</v>
      </c>
      <c r="B1338" s="50" t="s">
        <v>309</v>
      </c>
      <c r="C1338" s="78">
        <f>+C1339+C1340+C1341+C1342+C1343+C1345+C1346+C1347+C1348+C1349++C1350</f>
        <v>785.50000000000023</v>
      </c>
      <c r="D1338" s="60" t="s">
        <v>72</v>
      </c>
      <c r="E1338" s="589" t="s">
        <v>9</v>
      </c>
      <c r="F1338" s="709"/>
    </row>
    <row r="1339" spans="1:6">
      <c r="A1339" s="524" t="s">
        <v>11</v>
      </c>
      <c r="B1339" s="51" t="s">
        <v>17</v>
      </c>
      <c r="C1339" s="524">
        <v>307.60000000000002</v>
      </c>
      <c r="D1339" s="52" t="s">
        <v>15</v>
      </c>
      <c r="E1339" s="593" t="s">
        <v>18</v>
      </c>
      <c r="F1339" s="709"/>
    </row>
    <row r="1340" spans="1:6">
      <c r="A1340" s="524"/>
      <c r="B1340" s="51" t="s">
        <v>218</v>
      </c>
      <c r="C1340" s="524">
        <v>44.8</v>
      </c>
      <c r="D1340" s="52" t="s">
        <v>15</v>
      </c>
      <c r="E1340" s="593" t="s">
        <v>18</v>
      </c>
      <c r="F1340" s="709"/>
    </row>
    <row r="1341" spans="1:6">
      <c r="A1341" s="524"/>
      <c r="B1341" s="51" t="s">
        <v>39</v>
      </c>
      <c r="C1341" s="524">
        <v>170</v>
      </c>
      <c r="D1341" s="52" t="s">
        <v>15</v>
      </c>
      <c r="E1341" s="593" t="s">
        <v>18</v>
      </c>
      <c r="F1341" s="709"/>
    </row>
    <row r="1342" spans="1:6">
      <c r="A1342" s="524"/>
      <c r="B1342" s="51" t="s">
        <v>130</v>
      </c>
      <c r="C1342" s="524">
        <v>17.100000000000001</v>
      </c>
      <c r="D1342" s="52" t="s">
        <v>15</v>
      </c>
      <c r="E1342" s="593" t="s">
        <v>18</v>
      </c>
      <c r="F1342" s="709"/>
    </row>
    <row r="1343" spans="1:6">
      <c r="A1343" s="524"/>
      <c r="B1343" s="51" t="s">
        <v>21</v>
      </c>
      <c r="C1343" s="524">
        <v>8.6</v>
      </c>
      <c r="D1343" s="52" t="s">
        <v>22</v>
      </c>
      <c r="E1343" s="593" t="s">
        <v>18</v>
      </c>
      <c r="F1343" s="709"/>
    </row>
    <row r="1344" spans="1:6">
      <c r="A1344" s="78"/>
      <c r="B1344" s="51"/>
      <c r="C1344" s="524"/>
      <c r="D1344" s="52" t="s">
        <v>67</v>
      </c>
      <c r="E1344" s="593" t="s">
        <v>68</v>
      </c>
      <c r="F1344" s="709"/>
    </row>
    <row r="1345" spans="1:6">
      <c r="A1345" s="78"/>
      <c r="B1345" s="51" t="s">
        <v>75</v>
      </c>
      <c r="C1345" s="524">
        <v>90</v>
      </c>
      <c r="D1345" s="52" t="s">
        <v>15</v>
      </c>
      <c r="E1345" s="593" t="s">
        <v>42</v>
      </c>
      <c r="F1345" s="709"/>
    </row>
    <row r="1346" spans="1:6">
      <c r="A1346" s="78"/>
      <c r="B1346" s="51" t="s">
        <v>19</v>
      </c>
      <c r="C1346" s="524">
        <v>13.1</v>
      </c>
      <c r="D1346" s="52" t="s">
        <v>15</v>
      </c>
      <c r="E1346" s="593" t="s">
        <v>18</v>
      </c>
      <c r="F1346" s="709"/>
    </row>
    <row r="1347" spans="1:6">
      <c r="A1347" s="78"/>
      <c r="B1347" s="51" t="s">
        <v>36</v>
      </c>
      <c r="C1347" s="524">
        <v>89.8</v>
      </c>
      <c r="D1347" s="52" t="s">
        <v>15</v>
      </c>
      <c r="E1347" s="593" t="s">
        <v>18</v>
      </c>
      <c r="F1347" s="709"/>
    </row>
    <row r="1348" spans="1:6">
      <c r="A1348" s="78"/>
      <c r="B1348" s="51" t="s">
        <v>217</v>
      </c>
      <c r="C1348" s="524">
        <v>15.7</v>
      </c>
      <c r="D1348" s="52" t="s">
        <v>15</v>
      </c>
      <c r="E1348" s="593" t="s">
        <v>42</v>
      </c>
      <c r="F1348" s="709"/>
    </row>
    <row r="1349" spans="1:6">
      <c r="A1349" s="78"/>
      <c r="B1349" s="51" t="s">
        <v>40</v>
      </c>
      <c r="C1349" s="524">
        <v>16.2</v>
      </c>
      <c r="D1349" s="52" t="s">
        <v>15</v>
      </c>
      <c r="E1349" s="593" t="s">
        <v>28</v>
      </c>
      <c r="F1349" s="709"/>
    </row>
    <row r="1350" spans="1:6">
      <c r="A1350" s="86"/>
      <c r="B1350" s="53" t="s">
        <v>40</v>
      </c>
      <c r="C1350" s="532">
        <v>12.6</v>
      </c>
      <c r="D1350" s="54" t="s">
        <v>15</v>
      </c>
      <c r="E1350" s="594" t="s">
        <v>28</v>
      </c>
      <c r="F1350" s="709"/>
    </row>
    <row r="1351" spans="1:6">
      <c r="A1351" s="524">
        <v>2</v>
      </c>
      <c r="B1351" s="118" t="s">
        <v>677</v>
      </c>
      <c r="C1351" s="464">
        <f>+C1352+C1359</f>
        <v>1191.2</v>
      </c>
      <c r="D1351" s="63"/>
      <c r="E1351" s="595"/>
      <c r="F1351" s="721" t="s">
        <v>308</v>
      </c>
    </row>
    <row r="1352" spans="1:6">
      <c r="A1352" s="524" t="s">
        <v>214</v>
      </c>
      <c r="B1352" s="50" t="s">
        <v>180</v>
      </c>
      <c r="C1352" s="78">
        <f>+C1353+C1354+C1355+C1356+C1357+C1358</f>
        <v>741.60000000000014</v>
      </c>
      <c r="D1352" s="60" t="s">
        <v>72</v>
      </c>
      <c r="E1352" s="589" t="s">
        <v>9</v>
      </c>
      <c r="F1352" s="722"/>
    </row>
    <row r="1353" spans="1:6">
      <c r="A1353" s="524" t="s">
        <v>11</v>
      </c>
      <c r="B1353" s="51" t="s">
        <v>101</v>
      </c>
      <c r="C1353" s="524">
        <v>246</v>
      </c>
      <c r="D1353" s="52" t="s">
        <v>15</v>
      </c>
      <c r="E1353" s="593" t="s">
        <v>18</v>
      </c>
      <c r="F1353" s="722"/>
    </row>
    <row r="1354" spans="1:6">
      <c r="A1354" s="524"/>
      <c r="B1354" s="51" t="s">
        <v>101</v>
      </c>
      <c r="C1354" s="524">
        <v>88.1</v>
      </c>
      <c r="D1354" s="52" t="s">
        <v>15</v>
      </c>
      <c r="E1354" s="593" t="s">
        <v>28</v>
      </c>
      <c r="F1354" s="722"/>
    </row>
    <row r="1355" spans="1:6">
      <c r="A1355" s="524"/>
      <c r="B1355" s="51" t="s">
        <v>101</v>
      </c>
      <c r="C1355" s="524">
        <v>238.9</v>
      </c>
      <c r="D1355" s="52" t="s">
        <v>15</v>
      </c>
      <c r="E1355" s="593" t="s">
        <v>42</v>
      </c>
      <c r="F1355" s="722"/>
    </row>
    <row r="1356" spans="1:6">
      <c r="A1356" s="524"/>
      <c r="B1356" s="51" t="s">
        <v>218</v>
      </c>
      <c r="C1356" s="524">
        <v>26.2</v>
      </c>
      <c r="D1356" s="52" t="s">
        <v>15</v>
      </c>
      <c r="E1356" s="593" t="s">
        <v>18</v>
      </c>
      <c r="F1356" s="722"/>
    </row>
    <row r="1357" spans="1:6">
      <c r="A1357" s="524"/>
      <c r="B1357" s="51" t="s">
        <v>311</v>
      </c>
      <c r="C1357" s="524">
        <v>26.2</v>
      </c>
      <c r="D1357" s="52" t="s">
        <v>15</v>
      </c>
      <c r="E1357" s="593" t="s">
        <v>28</v>
      </c>
      <c r="F1357" s="722"/>
    </row>
    <row r="1358" spans="1:6">
      <c r="A1358" s="524"/>
      <c r="B1358" s="51" t="s">
        <v>36</v>
      </c>
      <c r="C1358" s="524">
        <v>116.2</v>
      </c>
      <c r="D1358" s="52" t="s">
        <v>15</v>
      </c>
      <c r="E1358" s="593" t="s">
        <v>28</v>
      </c>
      <c r="F1358" s="722"/>
    </row>
    <row r="1359" spans="1:6">
      <c r="A1359" s="524" t="s">
        <v>214</v>
      </c>
      <c r="B1359" s="50" t="s">
        <v>12</v>
      </c>
      <c r="C1359" s="78">
        <f>+C1360+C1361+C1363+C1364+C1365+C1366+C1367+C1368+C1369+C1370</f>
        <v>449.59999999999997</v>
      </c>
      <c r="D1359" s="60" t="s">
        <v>72</v>
      </c>
      <c r="E1359" s="589" t="s">
        <v>9</v>
      </c>
      <c r="F1359" s="722"/>
    </row>
    <row r="1360" spans="1:6">
      <c r="A1360" s="524" t="s">
        <v>29</v>
      </c>
      <c r="B1360" s="51" t="s">
        <v>39</v>
      </c>
      <c r="C1360" s="524">
        <v>61.7</v>
      </c>
      <c r="D1360" s="52" t="s">
        <v>15</v>
      </c>
      <c r="E1360" s="593" t="s">
        <v>18</v>
      </c>
      <c r="F1360" s="722"/>
    </row>
    <row r="1361" spans="1:6">
      <c r="A1361" s="524"/>
      <c r="B1361" s="51" t="s">
        <v>21</v>
      </c>
      <c r="C1361" s="524">
        <v>3</v>
      </c>
      <c r="D1361" s="52" t="s">
        <v>22</v>
      </c>
      <c r="E1361" s="593" t="s">
        <v>18</v>
      </c>
      <c r="F1361" s="722"/>
    </row>
    <row r="1362" spans="1:6">
      <c r="A1362" s="524"/>
      <c r="B1362" s="51"/>
      <c r="C1362" s="524"/>
      <c r="D1362" s="52" t="s">
        <v>67</v>
      </c>
      <c r="E1362" s="593" t="s">
        <v>68</v>
      </c>
      <c r="F1362" s="722"/>
    </row>
    <row r="1363" spans="1:6">
      <c r="A1363" s="524"/>
      <c r="B1363" s="62" t="s">
        <v>45</v>
      </c>
      <c r="C1363" s="524">
        <v>1.5</v>
      </c>
      <c r="D1363" s="52" t="s">
        <v>15</v>
      </c>
      <c r="E1363" s="593" t="s">
        <v>42</v>
      </c>
      <c r="F1363" s="722"/>
    </row>
    <row r="1364" spans="1:6">
      <c r="A1364" s="524"/>
      <c r="B1364" s="62" t="s">
        <v>63</v>
      </c>
      <c r="C1364" s="524">
        <v>47.9</v>
      </c>
      <c r="D1364" s="52" t="s">
        <v>15</v>
      </c>
      <c r="E1364" s="593" t="s">
        <v>18</v>
      </c>
      <c r="F1364" s="722"/>
    </row>
    <row r="1365" spans="1:6">
      <c r="A1365" s="524"/>
      <c r="B1365" s="62" t="s">
        <v>17</v>
      </c>
      <c r="C1365" s="524">
        <v>42.4</v>
      </c>
      <c r="D1365" s="52" t="s">
        <v>15</v>
      </c>
      <c r="E1365" s="593" t="s">
        <v>18</v>
      </c>
      <c r="F1365" s="722"/>
    </row>
    <row r="1366" spans="1:6">
      <c r="A1366" s="524"/>
      <c r="B1366" s="62" t="s">
        <v>19</v>
      </c>
      <c r="C1366" s="524">
        <v>8.5</v>
      </c>
      <c r="D1366" s="52" t="s">
        <v>15</v>
      </c>
      <c r="E1366" s="593" t="s">
        <v>18</v>
      </c>
      <c r="F1366" s="722"/>
    </row>
    <row r="1367" spans="1:6">
      <c r="A1367" s="524"/>
      <c r="B1367" s="67" t="s">
        <v>130</v>
      </c>
      <c r="C1367" s="524">
        <v>18.399999999999999</v>
      </c>
      <c r="D1367" s="52" t="s">
        <v>15</v>
      </c>
      <c r="E1367" s="593" t="s">
        <v>18</v>
      </c>
      <c r="F1367" s="722"/>
    </row>
    <row r="1368" spans="1:6">
      <c r="A1368" s="524"/>
      <c r="B1368" s="51" t="s">
        <v>84</v>
      </c>
      <c r="C1368" s="524">
        <v>94.1</v>
      </c>
      <c r="D1368" s="52" t="s">
        <v>15</v>
      </c>
      <c r="E1368" s="593" t="s">
        <v>18</v>
      </c>
      <c r="F1368" s="722"/>
    </row>
    <row r="1369" spans="1:6">
      <c r="A1369" s="524"/>
      <c r="B1369" s="51" t="s">
        <v>312</v>
      </c>
      <c r="C1369" s="524">
        <v>35.4</v>
      </c>
      <c r="D1369" s="52" t="s">
        <v>15</v>
      </c>
      <c r="E1369" s="593" t="s">
        <v>18</v>
      </c>
      <c r="F1369" s="722"/>
    </row>
    <row r="1370" spans="1:6">
      <c r="A1370" s="82"/>
      <c r="B1370" s="64" t="s">
        <v>313</v>
      </c>
      <c r="C1370" s="532">
        <v>136.69999999999999</v>
      </c>
      <c r="D1370" s="54" t="s">
        <v>15</v>
      </c>
      <c r="E1370" s="594" t="s">
        <v>28</v>
      </c>
      <c r="F1370" s="723"/>
    </row>
    <row r="1371" spans="1:6">
      <c r="A1371" s="524">
        <v>3</v>
      </c>
      <c r="B1371" s="118" t="s">
        <v>678</v>
      </c>
      <c r="C1371" s="464">
        <f>+C1372+C1379</f>
        <v>882.50000000000011</v>
      </c>
      <c r="D1371" s="63"/>
      <c r="E1371" s="595"/>
      <c r="F1371" s="708" t="s">
        <v>314</v>
      </c>
    </row>
    <row r="1372" spans="1:6">
      <c r="A1372" s="524" t="s">
        <v>214</v>
      </c>
      <c r="B1372" s="50" t="s">
        <v>180</v>
      </c>
      <c r="C1372" s="78">
        <f>+C1373+C1374+C1375+C1376+C1378</f>
        <v>123.8</v>
      </c>
      <c r="D1372" s="60" t="s">
        <v>72</v>
      </c>
      <c r="E1372" s="589" t="s">
        <v>9</v>
      </c>
      <c r="F1372" s="706"/>
    </row>
    <row r="1373" spans="1:6">
      <c r="A1373" s="524" t="s">
        <v>11</v>
      </c>
      <c r="B1373" s="51" t="s">
        <v>39</v>
      </c>
      <c r="C1373" s="524">
        <v>45</v>
      </c>
      <c r="D1373" s="52" t="s">
        <v>15</v>
      </c>
      <c r="E1373" s="593" t="s">
        <v>18</v>
      </c>
      <c r="F1373" s="706"/>
    </row>
    <row r="1374" spans="1:6">
      <c r="A1374" s="524"/>
      <c r="B1374" s="51" t="s">
        <v>17</v>
      </c>
      <c r="C1374" s="524">
        <v>39.799999999999997</v>
      </c>
      <c r="D1374" s="52" t="s">
        <v>15</v>
      </c>
      <c r="E1374" s="593" t="s">
        <v>18</v>
      </c>
      <c r="F1374" s="706"/>
    </row>
    <row r="1375" spans="1:6">
      <c r="A1375" s="524"/>
      <c r="B1375" s="51" t="s">
        <v>304</v>
      </c>
      <c r="C1375" s="524">
        <v>18</v>
      </c>
      <c r="D1375" s="52" t="s">
        <v>15</v>
      </c>
      <c r="E1375" s="593" t="s">
        <v>42</v>
      </c>
      <c r="F1375" s="706"/>
    </row>
    <row r="1376" spans="1:6">
      <c r="A1376" s="524"/>
      <c r="B1376" s="51" t="s">
        <v>21</v>
      </c>
      <c r="C1376" s="524">
        <v>17</v>
      </c>
      <c r="D1376" s="52" t="s">
        <v>22</v>
      </c>
      <c r="E1376" s="593" t="s">
        <v>18</v>
      </c>
      <c r="F1376" s="706"/>
    </row>
    <row r="1377" spans="1:6">
      <c r="A1377" s="524"/>
      <c r="B1377" s="51"/>
      <c r="C1377" s="524"/>
      <c r="D1377" s="52" t="s">
        <v>67</v>
      </c>
      <c r="E1377" s="593" t="s">
        <v>68</v>
      </c>
      <c r="F1377" s="706"/>
    </row>
    <row r="1378" spans="1:6">
      <c r="A1378" s="524"/>
      <c r="B1378" s="62" t="s">
        <v>45</v>
      </c>
      <c r="C1378" s="524">
        <v>4</v>
      </c>
      <c r="D1378" s="52" t="s">
        <v>15</v>
      </c>
      <c r="E1378" s="593" t="s">
        <v>18</v>
      </c>
      <c r="F1378" s="706"/>
    </row>
    <row r="1379" spans="1:6">
      <c r="A1379" s="524" t="s">
        <v>214</v>
      </c>
      <c r="B1379" s="50" t="s">
        <v>315</v>
      </c>
      <c r="C1379" s="78">
        <f>+C1380+C1381+C1382+C1384+C1385+C1386+C1387+C1388+C1389</f>
        <v>758.70000000000016</v>
      </c>
      <c r="D1379" s="60" t="s">
        <v>72</v>
      </c>
      <c r="E1379" s="589" t="s">
        <v>9</v>
      </c>
      <c r="F1379" s="706"/>
    </row>
    <row r="1380" spans="1:6">
      <c r="A1380" s="524" t="s">
        <v>29</v>
      </c>
      <c r="B1380" s="51" t="s">
        <v>39</v>
      </c>
      <c r="C1380" s="524">
        <v>44.1</v>
      </c>
      <c r="D1380" s="52" t="s">
        <v>15</v>
      </c>
      <c r="E1380" s="593" t="s">
        <v>18</v>
      </c>
      <c r="F1380" s="706"/>
    </row>
    <row r="1381" spans="1:6">
      <c r="A1381" s="524"/>
      <c r="B1381" s="51" t="s">
        <v>36</v>
      </c>
      <c r="C1381" s="524">
        <v>494.7</v>
      </c>
      <c r="D1381" s="52" t="s">
        <v>15</v>
      </c>
      <c r="E1381" s="593" t="s">
        <v>18</v>
      </c>
      <c r="F1381" s="706"/>
    </row>
    <row r="1382" spans="1:6">
      <c r="A1382" s="524"/>
      <c r="B1382" s="51" t="s">
        <v>21</v>
      </c>
      <c r="C1382" s="524">
        <v>12.2</v>
      </c>
      <c r="D1382" s="52" t="s">
        <v>22</v>
      </c>
      <c r="E1382" s="593" t="s">
        <v>18</v>
      </c>
      <c r="F1382" s="706"/>
    </row>
    <row r="1383" spans="1:6">
      <c r="A1383" s="524"/>
      <c r="B1383" s="51"/>
      <c r="C1383" s="524"/>
      <c r="D1383" s="52" t="s">
        <v>67</v>
      </c>
      <c r="E1383" s="593" t="s">
        <v>68</v>
      </c>
      <c r="F1383" s="706"/>
    </row>
    <row r="1384" spans="1:6">
      <c r="A1384" s="524"/>
      <c r="B1384" s="62" t="s">
        <v>45</v>
      </c>
      <c r="C1384" s="524">
        <v>8.1</v>
      </c>
      <c r="D1384" s="52" t="s">
        <v>15</v>
      </c>
      <c r="E1384" s="593" t="s">
        <v>28</v>
      </c>
      <c r="F1384" s="706"/>
    </row>
    <row r="1385" spans="1:6">
      <c r="A1385" s="524"/>
      <c r="B1385" s="62" t="s">
        <v>215</v>
      </c>
      <c r="C1385" s="524">
        <v>8.1</v>
      </c>
      <c r="D1385" s="52" t="s">
        <v>15</v>
      </c>
      <c r="E1385" s="593" t="s">
        <v>18</v>
      </c>
      <c r="F1385" s="706"/>
    </row>
    <row r="1386" spans="1:6">
      <c r="A1386" s="524"/>
      <c r="B1386" s="62" t="s">
        <v>218</v>
      </c>
      <c r="C1386" s="524">
        <v>26.2</v>
      </c>
      <c r="D1386" s="52" t="s">
        <v>15</v>
      </c>
      <c r="E1386" s="593" t="s">
        <v>18</v>
      </c>
      <c r="F1386" s="706"/>
    </row>
    <row r="1387" spans="1:6">
      <c r="A1387" s="524"/>
      <c r="B1387" s="62" t="s">
        <v>311</v>
      </c>
      <c r="C1387" s="524">
        <v>26.2</v>
      </c>
      <c r="D1387" s="52" t="s">
        <v>15</v>
      </c>
      <c r="E1387" s="593" t="s">
        <v>28</v>
      </c>
      <c r="F1387" s="706"/>
    </row>
    <row r="1388" spans="1:6">
      <c r="A1388" s="524"/>
      <c r="B1388" s="51" t="s">
        <v>36</v>
      </c>
      <c r="C1388" s="524">
        <v>38.4</v>
      </c>
      <c r="D1388" s="52" t="s">
        <v>15</v>
      </c>
      <c r="E1388" s="593" t="s">
        <v>28</v>
      </c>
      <c r="F1388" s="706"/>
    </row>
    <row r="1389" spans="1:6">
      <c r="A1389" s="524"/>
      <c r="B1389" s="55" t="s">
        <v>36</v>
      </c>
      <c r="C1389" s="532">
        <v>100.7</v>
      </c>
      <c r="D1389" s="52" t="s">
        <v>15</v>
      </c>
      <c r="E1389" s="594" t="s">
        <v>28</v>
      </c>
      <c r="F1389" s="706"/>
    </row>
    <row r="1390" spans="1:6">
      <c r="A1390" s="533">
        <v>4</v>
      </c>
      <c r="B1390" s="118" t="s">
        <v>307</v>
      </c>
      <c r="C1390" s="464">
        <v>509.6</v>
      </c>
      <c r="D1390" s="83"/>
      <c r="E1390" s="595"/>
      <c r="F1390" s="708" t="s">
        <v>977</v>
      </c>
    </row>
    <row r="1391" spans="1:6">
      <c r="A1391" s="524" t="s">
        <v>214</v>
      </c>
      <c r="B1391" s="50" t="s">
        <v>38</v>
      </c>
      <c r="C1391" s="78">
        <f>+C1392+C1393+C1394+C1395+C1397+C1398+C1399+C1400</f>
        <v>509.59999999999991</v>
      </c>
      <c r="D1391" s="60" t="s">
        <v>72</v>
      </c>
      <c r="E1391" s="589" t="s">
        <v>9</v>
      </c>
      <c r="F1391" s="706"/>
    </row>
    <row r="1392" spans="1:6">
      <c r="A1392" s="524" t="s">
        <v>11</v>
      </c>
      <c r="B1392" s="51" t="s">
        <v>39</v>
      </c>
      <c r="C1392" s="524">
        <v>142.6</v>
      </c>
      <c r="D1392" s="52" t="s">
        <v>15</v>
      </c>
      <c r="E1392" s="593" t="s">
        <v>18</v>
      </c>
      <c r="F1392" s="706"/>
    </row>
    <row r="1393" spans="1:6">
      <c r="A1393" s="524"/>
      <c r="B1393" s="51" t="s">
        <v>217</v>
      </c>
      <c r="C1393" s="524">
        <v>16.5</v>
      </c>
      <c r="D1393" s="52" t="s">
        <v>15</v>
      </c>
      <c r="E1393" s="593" t="s">
        <v>18</v>
      </c>
      <c r="F1393" s="706"/>
    </row>
    <row r="1394" spans="1:6">
      <c r="A1394" s="524"/>
      <c r="B1394" s="51" t="s">
        <v>36</v>
      </c>
      <c r="C1394" s="524">
        <v>202.4</v>
      </c>
      <c r="D1394" s="52" t="s">
        <v>15</v>
      </c>
      <c r="E1394" s="593" t="s">
        <v>18</v>
      </c>
      <c r="F1394" s="706"/>
    </row>
    <row r="1395" spans="1:6">
      <c r="A1395" s="524"/>
      <c r="B1395" s="51" t="s">
        <v>21</v>
      </c>
      <c r="C1395" s="524">
        <v>16.899999999999999</v>
      </c>
      <c r="D1395" s="52" t="s">
        <v>22</v>
      </c>
      <c r="E1395" s="593" t="s">
        <v>18</v>
      </c>
      <c r="F1395" s="706"/>
    </row>
    <row r="1396" spans="1:6">
      <c r="A1396" s="524"/>
      <c r="B1396" s="51"/>
      <c r="C1396" s="524"/>
      <c r="D1396" s="52" t="s">
        <v>67</v>
      </c>
      <c r="E1396" s="593" t="s">
        <v>68</v>
      </c>
      <c r="F1396" s="706"/>
    </row>
    <row r="1397" spans="1:6">
      <c r="A1397" s="524"/>
      <c r="B1397" s="51" t="s">
        <v>218</v>
      </c>
      <c r="C1397" s="524">
        <v>52.4</v>
      </c>
      <c r="D1397" s="52" t="s">
        <v>15</v>
      </c>
      <c r="E1397" s="593" t="s">
        <v>18</v>
      </c>
      <c r="F1397" s="706"/>
    </row>
    <row r="1398" spans="1:6">
      <c r="A1398" s="524"/>
      <c r="B1398" s="62" t="s">
        <v>73</v>
      </c>
      <c r="C1398" s="524">
        <v>26.4</v>
      </c>
      <c r="D1398" s="52" t="s">
        <v>15</v>
      </c>
      <c r="E1398" s="593" t="s">
        <v>42</v>
      </c>
      <c r="F1398" s="706"/>
    </row>
    <row r="1399" spans="1:6">
      <c r="A1399" s="524"/>
      <c r="B1399" s="51" t="s">
        <v>36</v>
      </c>
      <c r="C1399" s="524">
        <v>32.4</v>
      </c>
      <c r="D1399" s="52" t="s">
        <v>15</v>
      </c>
      <c r="E1399" s="593" t="s">
        <v>28</v>
      </c>
      <c r="F1399" s="706"/>
    </row>
    <row r="1400" spans="1:6">
      <c r="A1400" s="524"/>
      <c r="B1400" s="51" t="s">
        <v>36</v>
      </c>
      <c r="C1400" s="532">
        <v>20</v>
      </c>
      <c r="D1400" s="52" t="s">
        <v>15</v>
      </c>
      <c r="E1400" s="594" t="s">
        <v>28</v>
      </c>
      <c r="F1400" s="706"/>
    </row>
    <row r="1401" spans="1:6">
      <c r="A1401" s="533">
        <v>5</v>
      </c>
      <c r="B1401" s="119" t="s">
        <v>316</v>
      </c>
      <c r="C1401" s="464">
        <v>161.19999999999999</v>
      </c>
      <c r="D1401" s="83"/>
      <c r="E1401" s="595"/>
      <c r="F1401" s="708" t="s">
        <v>320</v>
      </c>
    </row>
    <row r="1402" spans="1:6">
      <c r="A1402" s="524" t="s">
        <v>214</v>
      </c>
      <c r="B1402" s="50" t="s">
        <v>318</v>
      </c>
      <c r="C1402" s="78">
        <f>+C1403+C1404+C1405+C1406+C1408+C1409+C1410</f>
        <v>161.20000000000002</v>
      </c>
      <c r="D1402" s="60" t="s">
        <v>72</v>
      </c>
      <c r="E1402" s="589" t="s">
        <v>9</v>
      </c>
      <c r="F1402" s="706"/>
    </row>
    <row r="1403" spans="1:6">
      <c r="A1403" s="524" t="s">
        <v>11</v>
      </c>
      <c r="B1403" s="51" t="s">
        <v>39</v>
      </c>
      <c r="C1403" s="524">
        <v>33.799999999999997</v>
      </c>
      <c r="D1403" s="52" t="s">
        <v>15</v>
      </c>
      <c r="E1403" s="593" t="s">
        <v>18</v>
      </c>
      <c r="F1403" s="706"/>
    </row>
    <row r="1404" spans="1:6">
      <c r="A1404" s="524"/>
      <c r="B1404" s="51" t="s">
        <v>273</v>
      </c>
      <c r="C1404" s="524">
        <v>62.3</v>
      </c>
      <c r="D1404" s="52" t="s">
        <v>15</v>
      </c>
      <c r="E1404" s="593" t="s">
        <v>18</v>
      </c>
      <c r="F1404" s="706"/>
    </row>
    <row r="1405" spans="1:6">
      <c r="A1405" s="524"/>
      <c r="B1405" s="51" t="s">
        <v>36</v>
      </c>
      <c r="C1405" s="524">
        <v>36.799999999999997</v>
      </c>
      <c r="D1405" s="52" t="s">
        <v>15</v>
      </c>
      <c r="E1405" s="593" t="s">
        <v>18</v>
      </c>
      <c r="F1405" s="706"/>
    </row>
    <row r="1406" spans="1:6">
      <c r="A1406" s="524"/>
      <c r="B1406" s="51" t="s">
        <v>21</v>
      </c>
      <c r="C1406" s="524">
        <v>5.3</v>
      </c>
      <c r="D1406" s="52" t="s">
        <v>22</v>
      </c>
      <c r="E1406" s="593" t="s">
        <v>18</v>
      </c>
      <c r="F1406" s="706"/>
    </row>
    <row r="1407" spans="1:6">
      <c r="A1407" s="524"/>
      <c r="B1407" s="51"/>
      <c r="C1407" s="524"/>
      <c r="D1407" s="52" t="s">
        <v>67</v>
      </c>
      <c r="E1407" s="593" t="s">
        <v>68</v>
      </c>
      <c r="F1407" s="706"/>
    </row>
    <row r="1408" spans="1:6">
      <c r="A1408" s="524"/>
      <c r="B1408" s="51" t="s">
        <v>19</v>
      </c>
      <c r="C1408" s="524">
        <v>6.4</v>
      </c>
      <c r="D1408" s="52" t="s">
        <v>15</v>
      </c>
      <c r="E1408" s="593" t="s">
        <v>18</v>
      </c>
      <c r="F1408" s="706"/>
    </row>
    <row r="1409" spans="1:8">
      <c r="A1409" s="524"/>
      <c r="B1409" s="62" t="s">
        <v>73</v>
      </c>
      <c r="C1409" s="524">
        <v>6.8</v>
      </c>
      <c r="D1409" s="52" t="s">
        <v>15</v>
      </c>
      <c r="E1409" s="593" t="s">
        <v>42</v>
      </c>
      <c r="F1409" s="706"/>
    </row>
    <row r="1410" spans="1:8">
      <c r="A1410" s="532"/>
      <c r="B1410" s="53" t="s">
        <v>221</v>
      </c>
      <c r="C1410" s="532">
        <v>9.8000000000000007</v>
      </c>
      <c r="D1410" s="54" t="s">
        <v>15</v>
      </c>
      <c r="E1410" s="594" t="s">
        <v>18</v>
      </c>
      <c r="F1410" s="707"/>
    </row>
    <row r="1411" spans="1:8">
      <c r="A1411" s="533">
        <v>6</v>
      </c>
      <c r="B1411" s="119" t="s">
        <v>319</v>
      </c>
      <c r="C1411" s="464">
        <f>+C1412+C1422</f>
        <v>315.89999999999998</v>
      </c>
      <c r="D1411" s="83"/>
      <c r="E1411" s="595"/>
      <c r="F1411" s="708" t="s">
        <v>980</v>
      </c>
    </row>
    <row r="1412" spans="1:8">
      <c r="A1412" s="524" t="s">
        <v>214</v>
      </c>
      <c r="B1412" s="50" t="s">
        <v>12</v>
      </c>
      <c r="C1412" s="78">
        <f>+C1413+C1414+C1415+C1416+C1418+C1419+C1420+C1421</f>
        <v>285.7</v>
      </c>
      <c r="D1412" s="60" t="s">
        <v>72</v>
      </c>
      <c r="E1412" s="589" t="s">
        <v>9</v>
      </c>
      <c r="F1412" s="706"/>
    </row>
    <row r="1413" spans="1:8">
      <c r="A1413" s="524" t="s">
        <v>11</v>
      </c>
      <c r="B1413" s="51" t="s">
        <v>39</v>
      </c>
      <c r="C1413" s="524">
        <v>54.1</v>
      </c>
      <c r="D1413" s="52" t="s">
        <v>15</v>
      </c>
      <c r="E1413" s="593" t="s">
        <v>18</v>
      </c>
      <c r="F1413" s="706"/>
    </row>
    <row r="1414" spans="1:8">
      <c r="A1414" s="524"/>
      <c r="B1414" s="51" t="s">
        <v>217</v>
      </c>
      <c r="C1414" s="524">
        <v>13</v>
      </c>
      <c r="D1414" s="52" t="s">
        <v>15</v>
      </c>
      <c r="E1414" s="593" t="s">
        <v>18</v>
      </c>
      <c r="F1414" s="706"/>
    </row>
    <row r="1415" spans="1:8">
      <c r="A1415" s="524"/>
      <c r="B1415" s="51" t="s">
        <v>36</v>
      </c>
      <c r="C1415" s="524">
        <v>157.9</v>
      </c>
      <c r="D1415" s="52" t="s">
        <v>15</v>
      </c>
      <c r="E1415" s="593" t="s">
        <v>18</v>
      </c>
      <c r="F1415" s="706"/>
    </row>
    <row r="1416" spans="1:8">
      <c r="A1416" s="524"/>
      <c r="B1416" s="51" t="s">
        <v>21</v>
      </c>
      <c r="C1416" s="524">
        <v>5.3</v>
      </c>
      <c r="D1416" s="52" t="s">
        <v>22</v>
      </c>
      <c r="E1416" s="593" t="s">
        <v>18</v>
      </c>
      <c r="F1416" s="706"/>
    </row>
    <row r="1417" spans="1:8">
      <c r="A1417" s="524"/>
      <c r="B1417" s="51"/>
      <c r="C1417" s="524"/>
      <c r="D1417" s="52" t="s">
        <v>67</v>
      </c>
      <c r="E1417" s="593" t="s">
        <v>68</v>
      </c>
      <c r="F1417" s="706"/>
    </row>
    <row r="1418" spans="1:8">
      <c r="A1418" s="66"/>
      <c r="B1418" s="51" t="s">
        <v>218</v>
      </c>
      <c r="C1418" s="524">
        <v>17</v>
      </c>
      <c r="D1418" s="52" t="s">
        <v>15</v>
      </c>
      <c r="E1418" s="593" t="s">
        <v>18</v>
      </c>
      <c r="F1418" s="706"/>
    </row>
    <row r="1419" spans="1:8">
      <c r="A1419" s="66"/>
      <c r="B1419" s="62" t="s">
        <v>45</v>
      </c>
      <c r="C1419" s="524">
        <v>7.5</v>
      </c>
      <c r="D1419" s="52" t="s">
        <v>15</v>
      </c>
      <c r="E1419" s="593" t="s">
        <v>18</v>
      </c>
      <c r="F1419" s="706"/>
    </row>
    <row r="1420" spans="1:8">
      <c r="A1420" s="66"/>
      <c r="B1420" s="51" t="s">
        <v>19</v>
      </c>
      <c r="C1420" s="524">
        <v>17</v>
      </c>
      <c r="D1420" s="52" t="s">
        <v>15</v>
      </c>
      <c r="E1420" s="593" t="s">
        <v>18</v>
      </c>
      <c r="F1420" s="706"/>
    </row>
    <row r="1421" spans="1:8">
      <c r="A1421" s="66"/>
      <c r="B1421" s="51" t="s">
        <v>101</v>
      </c>
      <c r="C1421" s="524">
        <v>13.9</v>
      </c>
      <c r="D1421" s="52" t="s">
        <v>15</v>
      </c>
      <c r="E1421" s="593" t="s">
        <v>28</v>
      </c>
      <c r="F1421" s="706"/>
    </row>
    <row r="1422" spans="1:8">
      <c r="A1422" s="524" t="s">
        <v>29</v>
      </c>
      <c r="B1422" s="50" t="s">
        <v>169</v>
      </c>
      <c r="C1422" s="78">
        <v>30.2</v>
      </c>
      <c r="D1422" s="52"/>
      <c r="E1422" s="593"/>
      <c r="F1422" s="706"/>
    </row>
    <row r="1423" spans="1:8">
      <c r="A1423" s="82"/>
      <c r="B1423" s="53" t="s">
        <v>36</v>
      </c>
      <c r="C1423" s="532">
        <v>30.2</v>
      </c>
      <c r="D1423" s="54" t="s">
        <v>15</v>
      </c>
      <c r="E1423" s="594" t="s">
        <v>18</v>
      </c>
      <c r="F1423" s="707"/>
      <c r="H1423" s="2" t="s">
        <v>214</v>
      </c>
    </row>
    <row r="1424" spans="1:8">
      <c r="A1424" s="64"/>
      <c r="B1424" s="53"/>
      <c r="C1424" s="468">
        <f>C1337+C1351+C1371+C1390+C1401+C1411</f>
        <v>3845.9</v>
      </c>
      <c r="D1424" s="54"/>
      <c r="E1424" s="65"/>
      <c r="F1424" s="528"/>
    </row>
    <row r="1425" spans="1:6" ht="15">
      <c r="A1425" s="729" t="s">
        <v>666</v>
      </c>
      <c r="B1425" s="730"/>
      <c r="C1425" s="730"/>
      <c r="D1425" s="730"/>
      <c r="E1425" s="730"/>
      <c r="F1425" s="731"/>
    </row>
    <row r="1426" spans="1:6" ht="25.5">
      <c r="A1426" s="533">
        <v>1</v>
      </c>
      <c r="B1426" s="119" t="s">
        <v>321</v>
      </c>
      <c r="C1426" s="464">
        <f>+C1427+C1434+C1435+C1444</f>
        <v>801.49999999999989</v>
      </c>
      <c r="D1426" s="83"/>
      <c r="E1426" s="595"/>
      <c r="F1426" s="708" t="s">
        <v>322</v>
      </c>
    </row>
    <row r="1427" spans="1:6">
      <c r="A1427" s="524" t="s">
        <v>214</v>
      </c>
      <c r="B1427" s="50" t="s">
        <v>12</v>
      </c>
      <c r="C1427" s="78">
        <f>+C1428+C1429+C1430+C1431+C1432+C1433</f>
        <v>196.5</v>
      </c>
      <c r="D1427" s="60" t="s">
        <v>72</v>
      </c>
      <c r="E1427" s="589" t="s">
        <v>9</v>
      </c>
      <c r="F1427" s="706"/>
    </row>
    <row r="1428" spans="1:6">
      <c r="A1428" s="524" t="s">
        <v>11</v>
      </c>
      <c r="B1428" s="51" t="s">
        <v>323</v>
      </c>
      <c r="C1428" s="524">
        <v>15</v>
      </c>
      <c r="D1428" s="52" t="s">
        <v>15</v>
      </c>
      <c r="E1428" s="593" t="s">
        <v>42</v>
      </c>
      <c r="F1428" s="706"/>
    </row>
    <row r="1429" spans="1:6">
      <c r="A1429" s="524"/>
      <c r="B1429" s="51" t="s">
        <v>222</v>
      </c>
      <c r="C1429" s="524">
        <v>13</v>
      </c>
      <c r="D1429" s="52" t="s">
        <v>15</v>
      </c>
      <c r="E1429" s="593" t="s">
        <v>18</v>
      </c>
      <c r="F1429" s="706"/>
    </row>
    <row r="1430" spans="1:6">
      <c r="A1430" s="524"/>
      <c r="B1430" s="51" t="s">
        <v>273</v>
      </c>
      <c r="C1430" s="524">
        <v>87.5</v>
      </c>
      <c r="D1430" s="52" t="s">
        <v>15</v>
      </c>
      <c r="E1430" s="593" t="s">
        <v>18</v>
      </c>
      <c r="F1430" s="706"/>
    </row>
    <row r="1431" spans="1:6">
      <c r="A1431" s="524"/>
      <c r="B1431" s="51" t="s">
        <v>221</v>
      </c>
      <c r="C1431" s="524">
        <v>3</v>
      </c>
      <c r="D1431" s="52" t="s">
        <v>15</v>
      </c>
      <c r="E1431" s="593" t="s">
        <v>18</v>
      </c>
      <c r="F1431" s="706"/>
    </row>
    <row r="1432" spans="1:6">
      <c r="A1432" s="524"/>
      <c r="B1432" s="51" t="s">
        <v>39</v>
      </c>
      <c r="C1432" s="524">
        <v>29</v>
      </c>
      <c r="D1432" s="52" t="s">
        <v>15</v>
      </c>
      <c r="E1432" s="593" t="s">
        <v>18</v>
      </c>
      <c r="F1432" s="706"/>
    </row>
    <row r="1433" spans="1:6">
      <c r="A1433" s="524"/>
      <c r="B1433" s="51" t="s">
        <v>147</v>
      </c>
      <c r="C1433" s="524">
        <v>49</v>
      </c>
      <c r="D1433" s="52" t="s">
        <v>27</v>
      </c>
      <c r="E1433" s="593" t="s">
        <v>18</v>
      </c>
      <c r="F1433" s="706"/>
    </row>
    <row r="1434" spans="1:6">
      <c r="A1434" s="524"/>
      <c r="B1434" s="50" t="s">
        <v>169</v>
      </c>
      <c r="C1434" s="78">
        <v>2.6</v>
      </c>
      <c r="D1434" s="52" t="s">
        <v>15</v>
      </c>
      <c r="E1434" s="593" t="s">
        <v>42</v>
      </c>
      <c r="F1434" s="706"/>
    </row>
    <row r="1435" spans="1:6">
      <c r="A1435" s="524" t="s">
        <v>29</v>
      </c>
      <c r="B1435" s="50" t="s">
        <v>30</v>
      </c>
      <c r="C1435" s="78">
        <f>+C1436+C1437+C1438+C1439+C1441+C1442+C1443</f>
        <v>291.59999999999997</v>
      </c>
      <c r="D1435" s="60" t="s">
        <v>72</v>
      </c>
      <c r="E1435" s="589" t="s">
        <v>9</v>
      </c>
      <c r="F1435" s="706"/>
    </row>
    <row r="1436" spans="1:6">
      <c r="A1436" s="524"/>
      <c r="B1436" s="51" t="s">
        <v>39</v>
      </c>
      <c r="C1436" s="524">
        <v>33.700000000000003</v>
      </c>
      <c r="D1436" s="52" t="s">
        <v>15</v>
      </c>
      <c r="E1436" s="593" t="s">
        <v>18</v>
      </c>
      <c r="F1436" s="706"/>
    </row>
    <row r="1437" spans="1:6">
      <c r="A1437" s="524"/>
      <c r="B1437" s="51" t="s">
        <v>17</v>
      </c>
      <c r="C1437" s="524">
        <v>154.80000000000001</v>
      </c>
      <c r="D1437" s="52" t="s">
        <v>15</v>
      </c>
      <c r="E1437" s="593" t="s">
        <v>18</v>
      </c>
      <c r="F1437" s="706"/>
    </row>
    <row r="1438" spans="1:6">
      <c r="A1438" s="524"/>
      <c r="B1438" s="51" t="s">
        <v>36</v>
      </c>
      <c r="C1438" s="524">
        <v>71.2</v>
      </c>
      <c r="D1438" s="52" t="s">
        <v>15</v>
      </c>
      <c r="E1438" s="593" t="s">
        <v>18</v>
      </c>
      <c r="F1438" s="706"/>
    </row>
    <row r="1439" spans="1:6">
      <c r="A1439" s="524"/>
      <c r="B1439" s="51" t="s">
        <v>21</v>
      </c>
      <c r="C1439" s="524">
        <v>5.2</v>
      </c>
      <c r="D1439" s="52" t="s">
        <v>22</v>
      </c>
      <c r="E1439" s="593" t="s">
        <v>18</v>
      </c>
      <c r="F1439" s="706"/>
    </row>
    <row r="1440" spans="1:6">
      <c r="A1440" s="524"/>
      <c r="B1440" s="51"/>
      <c r="C1440" s="524"/>
      <c r="D1440" s="52" t="s">
        <v>67</v>
      </c>
      <c r="E1440" s="593" t="s">
        <v>68</v>
      </c>
      <c r="F1440" s="706"/>
    </row>
    <row r="1441" spans="1:6">
      <c r="A1441" s="524"/>
      <c r="B1441" s="62" t="s">
        <v>324</v>
      </c>
      <c r="C1441" s="524">
        <v>5</v>
      </c>
      <c r="D1441" s="52" t="s">
        <v>15</v>
      </c>
      <c r="E1441" s="593" t="s">
        <v>42</v>
      </c>
      <c r="F1441" s="706"/>
    </row>
    <row r="1442" spans="1:6">
      <c r="A1442" s="524"/>
      <c r="B1442" s="51" t="s">
        <v>19</v>
      </c>
      <c r="C1442" s="524">
        <v>11.5</v>
      </c>
      <c r="D1442" s="52" t="s">
        <v>15</v>
      </c>
      <c r="E1442" s="593" t="s">
        <v>18</v>
      </c>
      <c r="F1442" s="706"/>
    </row>
    <row r="1443" spans="1:6">
      <c r="A1443" s="524" t="s">
        <v>214</v>
      </c>
      <c r="B1443" s="51" t="s">
        <v>101</v>
      </c>
      <c r="C1443" s="524">
        <v>10.199999999999999</v>
      </c>
      <c r="D1443" s="52" t="s">
        <v>15</v>
      </c>
      <c r="E1443" s="593" t="s">
        <v>42</v>
      </c>
      <c r="F1443" s="706"/>
    </row>
    <row r="1444" spans="1:6">
      <c r="A1444" s="524" t="s">
        <v>37</v>
      </c>
      <c r="B1444" s="50" t="s">
        <v>38</v>
      </c>
      <c r="C1444" s="78">
        <f>+C1445+C1446+C1447+C1448+C1449+C1451+C1452+C1453+C1454</f>
        <v>310.79999999999995</v>
      </c>
      <c r="D1444" s="60" t="s">
        <v>72</v>
      </c>
      <c r="E1444" s="589" t="s">
        <v>9</v>
      </c>
      <c r="F1444" s="706"/>
    </row>
    <row r="1445" spans="1:6">
      <c r="A1445" s="524"/>
      <c r="B1445" s="51" t="s">
        <v>218</v>
      </c>
      <c r="C1445" s="524">
        <v>26.4</v>
      </c>
      <c r="D1445" s="52" t="s">
        <v>15</v>
      </c>
      <c r="E1445" s="593" t="s">
        <v>18</v>
      </c>
      <c r="F1445" s="706"/>
    </row>
    <row r="1446" spans="1:6">
      <c r="A1446" s="524"/>
      <c r="B1446" s="51" t="s">
        <v>217</v>
      </c>
      <c r="C1446" s="524">
        <v>10</v>
      </c>
      <c r="D1446" s="52" t="s">
        <v>15</v>
      </c>
      <c r="E1446" s="593" t="s">
        <v>42</v>
      </c>
      <c r="F1446" s="706"/>
    </row>
    <row r="1447" spans="1:6">
      <c r="A1447" s="524"/>
      <c r="B1447" s="51" t="s">
        <v>45</v>
      </c>
      <c r="C1447" s="524">
        <v>5</v>
      </c>
      <c r="D1447" s="52" t="s">
        <v>15</v>
      </c>
      <c r="E1447" s="593" t="s">
        <v>18</v>
      </c>
      <c r="F1447" s="706"/>
    </row>
    <row r="1448" spans="1:6">
      <c r="A1448" s="524"/>
      <c r="B1448" s="51" t="s">
        <v>39</v>
      </c>
      <c r="C1448" s="524">
        <v>58</v>
      </c>
      <c r="D1448" s="52" t="s">
        <v>15</v>
      </c>
      <c r="E1448" s="593" t="s">
        <v>18</v>
      </c>
      <c r="F1448" s="706"/>
    </row>
    <row r="1449" spans="1:6">
      <c r="A1449" s="524"/>
      <c r="B1449" s="51" t="s">
        <v>21</v>
      </c>
      <c r="C1449" s="524">
        <v>8</v>
      </c>
      <c r="D1449" s="52" t="s">
        <v>22</v>
      </c>
      <c r="E1449" s="593" t="s">
        <v>18</v>
      </c>
      <c r="F1449" s="706"/>
    </row>
    <row r="1450" spans="1:6">
      <c r="A1450" s="524"/>
      <c r="B1450" s="51"/>
      <c r="C1450" s="524"/>
      <c r="D1450" s="52" t="s">
        <v>67</v>
      </c>
      <c r="E1450" s="593" t="s">
        <v>68</v>
      </c>
      <c r="F1450" s="706"/>
    </row>
    <row r="1451" spans="1:6">
      <c r="A1451" s="524"/>
      <c r="B1451" s="51" t="s">
        <v>215</v>
      </c>
      <c r="C1451" s="524">
        <v>23.2</v>
      </c>
      <c r="D1451" s="52" t="s">
        <v>15</v>
      </c>
      <c r="E1451" s="593" t="s">
        <v>18</v>
      </c>
      <c r="F1451" s="706"/>
    </row>
    <row r="1452" spans="1:6">
      <c r="A1452" s="524"/>
      <c r="B1452" s="51" t="s">
        <v>159</v>
      </c>
      <c r="C1452" s="524">
        <v>20</v>
      </c>
      <c r="D1452" s="52" t="s">
        <v>15</v>
      </c>
      <c r="E1452" s="593" t="s">
        <v>18</v>
      </c>
      <c r="F1452" s="706"/>
    </row>
    <row r="1453" spans="1:6">
      <c r="A1453" s="524"/>
      <c r="B1453" s="51" t="s">
        <v>311</v>
      </c>
      <c r="C1453" s="524">
        <v>24.2</v>
      </c>
      <c r="D1453" s="52" t="s">
        <v>15</v>
      </c>
      <c r="E1453" s="593" t="s">
        <v>42</v>
      </c>
      <c r="F1453" s="524"/>
    </row>
    <row r="1454" spans="1:6">
      <c r="A1454" s="532"/>
      <c r="B1454" s="51" t="s">
        <v>215</v>
      </c>
      <c r="C1454" s="532">
        <v>136</v>
      </c>
      <c r="D1454" s="52" t="s">
        <v>15</v>
      </c>
      <c r="E1454" s="594" t="s">
        <v>18</v>
      </c>
      <c r="F1454" s="532"/>
    </row>
    <row r="1455" spans="1:6">
      <c r="A1455" s="715" t="s">
        <v>667</v>
      </c>
      <c r="B1455" s="716"/>
      <c r="C1455" s="716"/>
      <c r="D1455" s="716"/>
      <c r="E1455" s="716"/>
      <c r="F1455" s="717"/>
    </row>
    <row r="1456" spans="1:6">
      <c r="A1456" s="533">
        <v>1</v>
      </c>
      <c r="B1456" s="119" t="s">
        <v>682</v>
      </c>
      <c r="C1456" s="464">
        <f>+C1457+C1464</f>
        <v>884.80000000000007</v>
      </c>
      <c r="D1456" s="83"/>
      <c r="E1456" s="595"/>
      <c r="F1456" s="724" t="s">
        <v>325</v>
      </c>
    </row>
    <row r="1457" spans="1:6">
      <c r="A1457" s="524" t="s">
        <v>214</v>
      </c>
      <c r="B1457" s="50" t="s">
        <v>180</v>
      </c>
      <c r="C1457" s="78">
        <f>+C1458+C1459+C1460+C1461+C1463</f>
        <v>270.10000000000002</v>
      </c>
      <c r="D1457" s="60" t="s">
        <v>72</v>
      </c>
      <c r="E1457" s="589" t="s">
        <v>9</v>
      </c>
      <c r="F1457" s="709"/>
    </row>
    <row r="1458" spans="1:6">
      <c r="A1458" s="524" t="s">
        <v>11</v>
      </c>
      <c r="B1458" s="51" t="s">
        <v>36</v>
      </c>
      <c r="C1458" s="524">
        <v>128.19999999999999</v>
      </c>
      <c r="D1458" s="63"/>
      <c r="E1458" s="593" t="s">
        <v>18</v>
      </c>
      <c r="F1458" s="709"/>
    </row>
    <row r="1459" spans="1:6">
      <c r="A1459" s="524"/>
      <c r="B1459" s="51" t="s">
        <v>36</v>
      </c>
      <c r="C1459" s="524">
        <v>60.6</v>
      </c>
      <c r="D1459" s="52" t="s">
        <v>15</v>
      </c>
      <c r="E1459" s="593" t="s">
        <v>28</v>
      </c>
      <c r="F1459" s="709"/>
    </row>
    <row r="1460" spans="1:6">
      <c r="A1460" s="524"/>
      <c r="B1460" s="51" t="s">
        <v>130</v>
      </c>
      <c r="C1460" s="524">
        <v>20.8</v>
      </c>
      <c r="D1460" s="52"/>
      <c r="E1460" s="593" t="s">
        <v>18</v>
      </c>
      <c r="F1460" s="709"/>
    </row>
    <row r="1461" spans="1:6">
      <c r="A1461" s="524"/>
      <c r="B1461" s="51" t="s">
        <v>21</v>
      </c>
      <c r="C1461" s="524">
        <v>3.9</v>
      </c>
      <c r="D1461" s="52" t="s">
        <v>22</v>
      </c>
      <c r="E1461" s="593" t="s">
        <v>18</v>
      </c>
      <c r="F1461" s="709"/>
    </row>
    <row r="1462" spans="1:6">
      <c r="A1462" s="524"/>
      <c r="B1462" s="51"/>
      <c r="C1462" s="524"/>
      <c r="D1462" s="52" t="s">
        <v>67</v>
      </c>
      <c r="E1462" s="593" t="s">
        <v>68</v>
      </c>
      <c r="F1462" s="709"/>
    </row>
    <row r="1463" spans="1:6">
      <c r="A1463" s="524"/>
      <c r="B1463" s="51" t="s">
        <v>39</v>
      </c>
      <c r="C1463" s="524">
        <v>56.6</v>
      </c>
      <c r="D1463" s="52" t="s">
        <v>15</v>
      </c>
      <c r="E1463" s="593" t="s">
        <v>18</v>
      </c>
      <c r="F1463" s="709"/>
    </row>
    <row r="1464" spans="1:6">
      <c r="A1464" s="524" t="s">
        <v>214</v>
      </c>
      <c r="B1464" s="50" t="s">
        <v>30</v>
      </c>
      <c r="C1464" s="78">
        <f>+C1465+C1466+C1467+C1468+C1470+C1471+C1472+C1473</f>
        <v>614.70000000000005</v>
      </c>
      <c r="D1464" s="60" t="s">
        <v>72</v>
      </c>
      <c r="E1464" s="589" t="s">
        <v>9</v>
      </c>
      <c r="F1464" s="709"/>
    </row>
    <row r="1465" spans="1:6">
      <c r="A1465" s="524" t="s">
        <v>29</v>
      </c>
      <c r="B1465" s="51" t="s">
        <v>17</v>
      </c>
      <c r="C1465" s="524">
        <v>164.3</v>
      </c>
      <c r="D1465" s="52" t="s">
        <v>15</v>
      </c>
      <c r="E1465" s="593" t="s">
        <v>18</v>
      </c>
      <c r="F1465" s="709"/>
    </row>
    <row r="1466" spans="1:6">
      <c r="A1466" s="524"/>
      <c r="B1466" s="51" t="s">
        <v>295</v>
      </c>
      <c r="C1466" s="524">
        <v>61</v>
      </c>
      <c r="D1466" s="52" t="s">
        <v>15</v>
      </c>
      <c r="E1466" s="593" t="s">
        <v>42</v>
      </c>
      <c r="F1466" s="709"/>
    </row>
    <row r="1467" spans="1:6">
      <c r="A1467" s="524"/>
      <c r="B1467" s="51" t="s">
        <v>326</v>
      </c>
      <c r="C1467" s="524">
        <v>53.3</v>
      </c>
      <c r="D1467" s="52" t="s">
        <v>15</v>
      </c>
      <c r="E1467" s="593" t="s">
        <v>42</v>
      </c>
      <c r="F1467" s="709"/>
    </row>
    <row r="1468" spans="1:6">
      <c r="A1468" s="524"/>
      <c r="B1468" s="51" t="s">
        <v>21</v>
      </c>
      <c r="C1468" s="524">
        <v>9.5</v>
      </c>
      <c r="D1468" s="52" t="s">
        <v>22</v>
      </c>
      <c r="E1468" s="593" t="s">
        <v>18</v>
      </c>
      <c r="F1468" s="709"/>
    </row>
    <row r="1469" spans="1:6">
      <c r="A1469" s="524"/>
      <c r="B1469" s="51"/>
      <c r="C1469" s="524"/>
      <c r="D1469" s="52" t="s">
        <v>67</v>
      </c>
      <c r="E1469" s="593" t="s">
        <v>68</v>
      </c>
      <c r="F1469" s="709"/>
    </row>
    <row r="1470" spans="1:6">
      <c r="A1470" s="524"/>
      <c r="B1470" s="51" t="s">
        <v>39</v>
      </c>
      <c r="C1470" s="524">
        <v>109.8</v>
      </c>
      <c r="D1470" s="52" t="s">
        <v>15</v>
      </c>
      <c r="E1470" s="593" t="s">
        <v>18</v>
      </c>
      <c r="F1470" s="709"/>
    </row>
    <row r="1471" spans="1:6">
      <c r="A1471" s="524"/>
      <c r="B1471" s="51" t="s">
        <v>73</v>
      </c>
      <c r="C1471" s="524">
        <v>167.8</v>
      </c>
      <c r="D1471" s="52" t="s">
        <v>15</v>
      </c>
      <c r="E1471" s="593" t="s">
        <v>28</v>
      </c>
      <c r="F1471" s="709"/>
    </row>
    <row r="1472" spans="1:6">
      <c r="A1472" s="524"/>
      <c r="B1472" s="51" t="s">
        <v>45</v>
      </c>
      <c r="C1472" s="524">
        <v>3.4</v>
      </c>
      <c r="D1472" s="52" t="s">
        <v>15</v>
      </c>
      <c r="E1472" s="593" t="s">
        <v>18</v>
      </c>
      <c r="F1472" s="709"/>
    </row>
    <row r="1473" spans="1:6">
      <c r="A1473" s="524"/>
      <c r="B1473" s="51" t="s">
        <v>327</v>
      </c>
      <c r="C1473" s="532">
        <v>45.6</v>
      </c>
      <c r="D1473" s="52" t="s">
        <v>15</v>
      </c>
      <c r="E1473" s="594" t="s">
        <v>18</v>
      </c>
      <c r="F1473" s="709"/>
    </row>
    <row r="1474" spans="1:6">
      <c r="A1474" s="533">
        <v>2</v>
      </c>
      <c r="B1474" s="120" t="s">
        <v>682</v>
      </c>
      <c r="C1474" s="464">
        <f>C1475+C1481+C1488+C1495</f>
        <v>1004.4</v>
      </c>
      <c r="D1474" s="83"/>
      <c r="E1474" s="595"/>
      <c r="F1474" s="724" t="s">
        <v>328</v>
      </c>
    </row>
    <row r="1475" spans="1:6">
      <c r="A1475" s="524" t="s">
        <v>214</v>
      </c>
      <c r="B1475" s="70" t="s">
        <v>309</v>
      </c>
      <c r="C1475" s="78">
        <f>+C1476+C1477+C1478+C1479+C1480</f>
        <v>285.3</v>
      </c>
      <c r="D1475" s="60" t="s">
        <v>72</v>
      </c>
      <c r="E1475" s="589" t="s">
        <v>9</v>
      </c>
      <c r="F1475" s="709"/>
    </row>
    <row r="1476" spans="1:6">
      <c r="A1476" s="524" t="s">
        <v>11</v>
      </c>
      <c r="B1476" s="72" t="s">
        <v>17</v>
      </c>
      <c r="C1476" s="524">
        <v>123</v>
      </c>
      <c r="D1476" s="52" t="s">
        <v>15</v>
      </c>
      <c r="E1476" s="593" t="s">
        <v>18</v>
      </c>
      <c r="F1476" s="709"/>
    </row>
    <row r="1477" spans="1:6">
      <c r="A1477" s="524"/>
      <c r="B1477" s="72" t="s">
        <v>17</v>
      </c>
      <c r="C1477" s="524">
        <v>38.299999999999997</v>
      </c>
      <c r="D1477" s="52" t="s">
        <v>15</v>
      </c>
      <c r="E1477" s="593" t="s">
        <v>42</v>
      </c>
      <c r="F1477" s="709"/>
    </row>
    <row r="1478" spans="1:6">
      <c r="A1478" s="524"/>
      <c r="B1478" s="72" t="s">
        <v>329</v>
      </c>
      <c r="C1478" s="524">
        <v>28.3</v>
      </c>
      <c r="D1478" s="52" t="s">
        <v>15</v>
      </c>
      <c r="E1478" s="593" t="s">
        <v>28</v>
      </c>
      <c r="F1478" s="709"/>
    </row>
    <row r="1479" spans="1:6">
      <c r="A1479" s="524"/>
      <c r="B1479" s="72" t="s">
        <v>330</v>
      </c>
      <c r="C1479" s="524">
        <v>11.1</v>
      </c>
      <c r="D1479" s="52" t="s">
        <v>15</v>
      </c>
      <c r="E1479" s="593" t="s">
        <v>28</v>
      </c>
      <c r="F1479" s="709"/>
    </row>
    <row r="1480" spans="1:6">
      <c r="A1480" s="524"/>
      <c r="B1480" s="72" t="s">
        <v>331</v>
      </c>
      <c r="C1480" s="524">
        <v>84.6</v>
      </c>
      <c r="D1480" s="52" t="s">
        <v>15</v>
      </c>
      <c r="E1480" s="593" t="s">
        <v>28</v>
      </c>
      <c r="F1480" s="709"/>
    </row>
    <row r="1481" spans="1:6">
      <c r="A1481" s="524" t="s">
        <v>214</v>
      </c>
      <c r="B1481" s="70" t="s">
        <v>177</v>
      </c>
      <c r="C1481" s="78">
        <f>+C1482+C1483+C1484+C1485+C1487</f>
        <v>274.7</v>
      </c>
      <c r="D1481" s="60" t="s">
        <v>72</v>
      </c>
      <c r="E1481" s="589" t="s">
        <v>9</v>
      </c>
      <c r="F1481" s="709"/>
    </row>
    <row r="1482" spans="1:6">
      <c r="A1482" s="524" t="s">
        <v>29</v>
      </c>
      <c r="B1482" s="72" t="s">
        <v>332</v>
      </c>
      <c r="C1482" s="524">
        <v>46.3</v>
      </c>
      <c r="D1482" s="52" t="s">
        <v>15</v>
      </c>
      <c r="E1482" s="593" t="s">
        <v>28</v>
      </c>
      <c r="F1482" s="709"/>
    </row>
    <row r="1483" spans="1:6">
      <c r="A1483" s="524"/>
      <c r="B1483" s="72" t="s">
        <v>333</v>
      </c>
      <c r="C1483" s="524">
        <v>181.5</v>
      </c>
      <c r="D1483" s="52" t="s">
        <v>15</v>
      </c>
      <c r="E1483" s="593" t="s">
        <v>28</v>
      </c>
      <c r="F1483" s="709"/>
    </row>
    <row r="1484" spans="1:6">
      <c r="A1484" s="524"/>
      <c r="B1484" s="72" t="s">
        <v>39</v>
      </c>
      <c r="C1484" s="524">
        <v>33.4</v>
      </c>
      <c r="D1484" s="52" t="s">
        <v>15</v>
      </c>
      <c r="E1484" s="593" t="s">
        <v>18</v>
      </c>
      <c r="F1484" s="709"/>
    </row>
    <row r="1485" spans="1:6">
      <c r="A1485" s="524"/>
      <c r="B1485" s="72" t="s">
        <v>21</v>
      </c>
      <c r="C1485" s="524">
        <v>4.5</v>
      </c>
      <c r="D1485" s="52" t="s">
        <v>22</v>
      </c>
      <c r="E1485" s="593" t="s">
        <v>18</v>
      </c>
      <c r="F1485" s="709"/>
    </row>
    <row r="1486" spans="1:6">
      <c r="A1486" s="524"/>
      <c r="B1486" s="72"/>
      <c r="C1486" s="524"/>
      <c r="D1486" s="52" t="s">
        <v>67</v>
      </c>
      <c r="E1486" s="593" t="s">
        <v>68</v>
      </c>
      <c r="F1486" s="709"/>
    </row>
    <row r="1487" spans="1:6">
      <c r="A1487" s="524"/>
      <c r="B1487" s="72" t="s">
        <v>24</v>
      </c>
      <c r="C1487" s="524">
        <v>9</v>
      </c>
      <c r="D1487" s="52"/>
      <c r="E1487" s="593"/>
      <c r="F1487" s="709"/>
    </row>
    <row r="1488" spans="1:6">
      <c r="A1488" s="524"/>
      <c r="B1488" s="70" t="s">
        <v>38</v>
      </c>
      <c r="C1488" s="78">
        <f>+C1489+C1490+C1491+C1492+C1494</f>
        <v>304</v>
      </c>
      <c r="D1488" s="60" t="s">
        <v>72</v>
      </c>
      <c r="E1488" s="589" t="s">
        <v>9</v>
      </c>
      <c r="F1488" s="709"/>
    </row>
    <row r="1489" spans="1:6">
      <c r="A1489" s="524"/>
      <c r="B1489" s="72" t="s">
        <v>36</v>
      </c>
      <c r="C1489" s="524">
        <v>227.5</v>
      </c>
      <c r="D1489" s="52" t="s">
        <v>15</v>
      </c>
      <c r="E1489" s="593" t="s">
        <v>18</v>
      </c>
      <c r="F1489" s="709"/>
    </row>
    <row r="1490" spans="1:6">
      <c r="A1490" s="524"/>
      <c r="B1490" s="72" t="s">
        <v>130</v>
      </c>
      <c r="C1490" s="524">
        <v>31.3</v>
      </c>
      <c r="D1490" s="52"/>
      <c r="E1490" s="593" t="s">
        <v>18</v>
      </c>
      <c r="F1490" s="709"/>
    </row>
    <row r="1491" spans="1:6">
      <c r="A1491" s="524"/>
      <c r="B1491" s="72" t="s">
        <v>39</v>
      </c>
      <c r="C1491" s="524">
        <v>31</v>
      </c>
      <c r="D1491" s="52" t="s">
        <v>15</v>
      </c>
      <c r="E1491" s="593" t="s">
        <v>18</v>
      </c>
      <c r="F1491" s="709"/>
    </row>
    <row r="1492" spans="1:6">
      <c r="A1492" s="524"/>
      <c r="B1492" s="72" t="s">
        <v>21</v>
      </c>
      <c r="C1492" s="524">
        <v>4.9000000000000004</v>
      </c>
      <c r="D1492" s="52" t="s">
        <v>22</v>
      </c>
      <c r="E1492" s="593" t="s">
        <v>18</v>
      </c>
      <c r="F1492" s="709"/>
    </row>
    <row r="1493" spans="1:6">
      <c r="A1493" s="524"/>
      <c r="B1493" s="72"/>
      <c r="C1493" s="524"/>
      <c r="D1493" s="52" t="s">
        <v>67</v>
      </c>
      <c r="E1493" s="593" t="s">
        <v>68</v>
      </c>
      <c r="F1493" s="709"/>
    </row>
    <row r="1494" spans="1:6">
      <c r="A1494" s="524"/>
      <c r="B1494" s="72" t="s">
        <v>24</v>
      </c>
      <c r="C1494" s="524">
        <v>9.3000000000000007</v>
      </c>
      <c r="D1494" s="52" t="s">
        <v>15</v>
      </c>
      <c r="E1494" s="593" t="s">
        <v>28</v>
      </c>
      <c r="F1494" s="709"/>
    </row>
    <row r="1495" spans="1:6">
      <c r="A1495" s="524"/>
      <c r="B1495" s="70" t="s">
        <v>169</v>
      </c>
      <c r="C1495" s="78">
        <f>C1496+C1497+C1498+C1499</f>
        <v>140.4</v>
      </c>
      <c r="D1495" s="52" t="s">
        <v>13</v>
      </c>
      <c r="E1495" s="593" t="s">
        <v>9</v>
      </c>
      <c r="F1495" s="527"/>
    </row>
    <row r="1496" spans="1:6">
      <c r="A1496" s="524"/>
      <c r="B1496" s="72" t="s">
        <v>301</v>
      </c>
      <c r="C1496" s="524">
        <v>29.7</v>
      </c>
      <c r="D1496" s="52" t="s">
        <v>15</v>
      </c>
      <c r="E1496" s="593" t="s">
        <v>18</v>
      </c>
      <c r="F1496" s="527"/>
    </row>
    <row r="1497" spans="1:6">
      <c r="A1497" s="524"/>
      <c r="B1497" s="72" t="s">
        <v>334</v>
      </c>
      <c r="C1497" s="524">
        <v>80.599999999999994</v>
      </c>
      <c r="D1497" s="52" t="s">
        <v>15</v>
      </c>
      <c r="E1497" s="593" t="s">
        <v>42</v>
      </c>
      <c r="F1497" s="527"/>
    </row>
    <row r="1498" spans="1:6">
      <c r="A1498" s="524"/>
      <c r="B1498" s="72" t="s">
        <v>334</v>
      </c>
      <c r="C1498" s="524">
        <v>4.8</v>
      </c>
      <c r="D1498" s="52" t="s">
        <v>15</v>
      </c>
      <c r="E1498" s="593" t="s">
        <v>28</v>
      </c>
      <c r="F1498" s="527"/>
    </row>
    <row r="1499" spans="1:6">
      <c r="A1499" s="524"/>
      <c r="B1499" s="72" t="s">
        <v>21</v>
      </c>
      <c r="C1499" s="524">
        <v>25.3</v>
      </c>
      <c r="D1499" s="52" t="s">
        <v>22</v>
      </c>
      <c r="E1499" s="593" t="s">
        <v>18</v>
      </c>
      <c r="F1499" s="527"/>
    </row>
    <row r="1500" spans="1:6">
      <c r="A1500" s="524"/>
      <c r="B1500" s="55"/>
      <c r="C1500" s="532"/>
      <c r="D1500" s="54" t="s">
        <v>67</v>
      </c>
      <c r="E1500" s="594" t="s">
        <v>68</v>
      </c>
      <c r="F1500" s="527"/>
    </row>
    <row r="1501" spans="1:6">
      <c r="A1501" s="533">
        <v>3</v>
      </c>
      <c r="B1501" s="119" t="s">
        <v>668</v>
      </c>
      <c r="C1501" s="464">
        <f>+C1502+C1508</f>
        <v>940.49999999999989</v>
      </c>
      <c r="D1501" s="83"/>
      <c r="E1501" s="595"/>
      <c r="F1501" s="708" t="s">
        <v>335</v>
      </c>
    </row>
    <row r="1502" spans="1:6">
      <c r="A1502" s="524" t="s">
        <v>214</v>
      </c>
      <c r="B1502" s="50" t="s">
        <v>336</v>
      </c>
      <c r="C1502" s="78">
        <f>+C1503+C1504+C1505+C1506+C1507</f>
        <v>397.4</v>
      </c>
      <c r="D1502" s="60" t="s">
        <v>72</v>
      </c>
      <c r="E1502" s="589" t="s">
        <v>9</v>
      </c>
      <c r="F1502" s="706"/>
    </row>
    <row r="1503" spans="1:6">
      <c r="A1503" s="524" t="s">
        <v>11</v>
      </c>
      <c r="B1503" s="51" t="s">
        <v>337</v>
      </c>
      <c r="C1503" s="524">
        <v>7</v>
      </c>
      <c r="D1503" s="52" t="s">
        <v>15</v>
      </c>
      <c r="E1503" s="593" t="s">
        <v>18</v>
      </c>
      <c r="F1503" s="706"/>
    </row>
    <row r="1504" spans="1:6">
      <c r="A1504" s="524"/>
      <c r="B1504" s="51" t="s">
        <v>101</v>
      </c>
      <c r="C1504" s="524">
        <v>35.5</v>
      </c>
      <c r="D1504" s="52" t="s">
        <v>15</v>
      </c>
      <c r="E1504" s="593" t="s">
        <v>28</v>
      </c>
      <c r="F1504" s="706"/>
    </row>
    <row r="1505" spans="1:6">
      <c r="A1505" s="524"/>
      <c r="B1505" s="51" t="s">
        <v>338</v>
      </c>
      <c r="C1505" s="524">
        <v>123</v>
      </c>
      <c r="D1505" s="52" t="s">
        <v>15</v>
      </c>
      <c r="E1505" s="593" t="s">
        <v>18</v>
      </c>
      <c r="F1505" s="706"/>
    </row>
    <row r="1506" spans="1:6">
      <c r="A1506" s="524"/>
      <c r="B1506" s="51" t="s">
        <v>339</v>
      </c>
      <c r="C1506" s="524">
        <v>80.900000000000006</v>
      </c>
      <c r="D1506" s="52" t="s">
        <v>15</v>
      </c>
      <c r="E1506" s="593" t="s">
        <v>28</v>
      </c>
      <c r="F1506" s="706"/>
    </row>
    <row r="1507" spans="1:6">
      <c r="A1507" s="524"/>
      <c r="B1507" s="51" t="s">
        <v>147</v>
      </c>
      <c r="C1507" s="524">
        <v>151</v>
      </c>
      <c r="D1507" s="52" t="s">
        <v>15</v>
      </c>
      <c r="E1507" s="593" t="s">
        <v>68</v>
      </c>
      <c r="F1507" s="706"/>
    </row>
    <row r="1508" spans="1:6">
      <c r="A1508" s="524" t="s">
        <v>214</v>
      </c>
      <c r="B1508" s="50" t="s">
        <v>38</v>
      </c>
      <c r="C1508" s="78">
        <f>+C1509+C1510+C1511+C1512+C1513+C1514+C1516+C1517+C1518+C1519+C1520</f>
        <v>543.09999999999991</v>
      </c>
      <c r="D1508" s="60" t="s">
        <v>72</v>
      </c>
      <c r="E1508" s="589" t="s">
        <v>9</v>
      </c>
      <c r="F1508" s="706"/>
    </row>
    <row r="1509" spans="1:6">
      <c r="A1509" s="524" t="s">
        <v>29</v>
      </c>
      <c r="B1509" s="51" t="s">
        <v>17</v>
      </c>
      <c r="C1509" s="524">
        <v>29.9</v>
      </c>
      <c r="D1509" s="52" t="s">
        <v>15</v>
      </c>
      <c r="E1509" s="593" t="s">
        <v>18</v>
      </c>
      <c r="F1509" s="706"/>
    </row>
    <row r="1510" spans="1:6">
      <c r="A1510" s="524"/>
      <c r="B1510" s="51" t="s">
        <v>340</v>
      </c>
      <c r="C1510" s="524">
        <v>29</v>
      </c>
      <c r="D1510" s="52" t="s">
        <v>15</v>
      </c>
      <c r="E1510" s="593" t="s">
        <v>28</v>
      </c>
      <c r="F1510" s="706"/>
    </row>
    <row r="1511" spans="1:6">
      <c r="A1511" s="524"/>
      <c r="B1511" s="51" t="s">
        <v>341</v>
      </c>
      <c r="C1511" s="524">
        <v>50</v>
      </c>
      <c r="D1511" s="52" t="s">
        <v>15</v>
      </c>
      <c r="E1511" s="593" t="s">
        <v>68</v>
      </c>
      <c r="F1511" s="706"/>
    </row>
    <row r="1512" spans="1:6">
      <c r="A1512" s="524"/>
      <c r="B1512" s="51" t="s">
        <v>101</v>
      </c>
      <c r="C1512" s="524">
        <v>5</v>
      </c>
      <c r="D1512" s="52" t="s">
        <v>15</v>
      </c>
      <c r="E1512" s="593" t="s">
        <v>28</v>
      </c>
      <c r="F1512" s="706"/>
    </row>
    <row r="1513" spans="1:6">
      <c r="A1513" s="524"/>
      <c r="B1513" s="51" t="s">
        <v>39</v>
      </c>
      <c r="C1513" s="524">
        <v>20.9</v>
      </c>
      <c r="D1513" s="52" t="s">
        <v>15</v>
      </c>
      <c r="E1513" s="593" t="s">
        <v>18</v>
      </c>
      <c r="F1513" s="706"/>
    </row>
    <row r="1514" spans="1:6">
      <c r="A1514" s="524"/>
      <c r="B1514" s="51" t="s">
        <v>21</v>
      </c>
      <c r="C1514" s="524">
        <v>18.2</v>
      </c>
      <c r="D1514" s="52" t="s">
        <v>22</v>
      </c>
      <c r="E1514" s="593" t="s">
        <v>18</v>
      </c>
      <c r="F1514" s="706"/>
    </row>
    <row r="1515" spans="1:6">
      <c r="A1515" s="524"/>
      <c r="B1515" s="51"/>
      <c r="C1515" s="524"/>
      <c r="D1515" s="52" t="s">
        <v>67</v>
      </c>
      <c r="E1515" s="593" t="s">
        <v>68</v>
      </c>
      <c r="F1515" s="706"/>
    </row>
    <row r="1516" spans="1:6">
      <c r="A1516" s="524"/>
      <c r="B1516" s="51" t="s">
        <v>36</v>
      </c>
      <c r="C1516" s="524">
        <v>113.7</v>
      </c>
      <c r="D1516" s="52" t="s">
        <v>15</v>
      </c>
      <c r="E1516" s="593" t="s">
        <v>18</v>
      </c>
      <c r="F1516" s="706"/>
    </row>
    <row r="1517" spans="1:6">
      <c r="A1517" s="524"/>
      <c r="B1517" s="51" t="s">
        <v>130</v>
      </c>
      <c r="C1517" s="524">
        <v>56</v>
      </c>
      <c r="D1517" s="52" t="s">
        <v>15</v>
      </c>
      <c r="E1517" s="593" t="s">
        <v>18</v>
      </c>
      <c r="F1517" s="706"/>
    </row>
    <row r="1518" spans="1:6">
      <c r="A1518" s="524"/>
      <c r="B1518" s="51" t="s">
        <v>175</v>
      </c>
      <c r="C1518" s="524">
        <v>174.6</v>
      </c>
      <c r="D1518" s="52" t="s">
        <v>15</v>
      </c>
      <c r="E1518" s="593" t="s">
        <v>342</v>
      </c>
      <c r="F1518" s="706"/>
    </row>
    <row r="1519" spans="1:6">
      <c r="A1519" s="524"/>
      <c r="B1519" s="51" t="s">
        <v>343</v>
      </c>
      <c r="C1519" s="524">
        <v>11.5</v>
      </c>
      <c r="D1519" s="52" t="s">
        <v>15</v>
      </c>
      <c r="E1519" s="593" t="s">
        <v>42</v>
      </c>
      <c r="F1519" s="706"/>
    </row>
    <row r="1520" spans="1:6">
      <c r="A1520" s="524"/>
      <c r="B1520" s="51" t="s">
        <v>344</v>
      </c>
      <c r="C1520" s="532">
        <v>34.299999999999997</v>
      </c>
      <c r="D1520" s="52" t="s">
        <v>15</v>
      </c>
      <c r="E1520" s="594" t="s">
        <v>42</v>
      </c>
      <c r="F1520" s="706"/>
    </row>
    <row r="1521" spans="1:6">
      <c r="A1521" s="533">
        <v>4</v>
      </c>
      <c r="B1521" s="119" t="s">
        <v>668</v>
      </c>
      <c r="C1521" s="464">
        <f>+C1522</f>
        <v>612.79999999999995</v>
      </c>
      <c r="D1521" s="83"/>
      <c r="E1521" s="595"/>
      <c r="F1521" s="708" t="s">
        <v>345</v>
      </c>
    </row>
    <row r="1522" spans="1:6">
      <c r="A1522" s="524" t="s">
        <v>214</v>
      </c>
      <c r="B1522" s="50" t="s">
        <v>336</v>
      </c>
      <c r="C1522" s="78">
        <f>+C1523+C1524+C1526+C1527+C1528+C1529+C1530+C1531+C1532+C1533+C1534+C1535+C1536</f>
        <v>612.79999999999995</v>
      </c>
      <c r="D1522" s="60" t="s">
        <v>72</v>
      </c>
      <c r="E1522" s="589" t="s">
        <v>9</v>
      </c>
      <c r="F1522" s="706"/>
    </row>
    <row r="1523" spans="1:6">
      <c r="A1523" s="524" t="s">
        <v>11</v>
      </c>
      <c r="B1523" s="51" t="s">
        <v>17</v>
      </c>
      <c r="C1523" s="524">
        <v>136.5</v>
      </c>
      <c r="D1523" s="52" t="s">
        <v>15</v>
      </c>
      <c r="E1523" s="593" t="s">
        <v>18</v>
      </c>
      <c r="F1523" s="706"/>
    </row>
    <row r="1524" spans="1:6">
      <c r="A1524" s="524"/>
      <c r="B1524" s="51" t="s">
        <v>21</v>
      </c>
      <c r="C1524" s="524">
        <v>9.6999999999999993</v>
      </c>
      <c r="D1524" s="52" t="s">
        <v>22</v>
      </c>
      <c r="E1524" s="593" t="s">
        <v>18</v>
      </c>
      <c r="F1524" s="706"/>
    </row>
    <row r="1525" spans="1:6">
      <c r="A1525" s="524"/>
      <c r="B1525" s="51"/>
      <c r="C1525" s="524"/>
      <c r="D1525" s="52" t="s">
        <v>67</v>
      </c>
      <c r="E1525" s="593" t="s">
        <v>68</v>
      </c>
      <c r="F1525" s="706"/>
    </row>
    <row r="1526" spans="1:6">
      <c r="A1526" s="524"/>
      <c r="B1526" s="51" t="s">
        <v>39</v>
      </c>
      <c r="C1526" s="524">
        <v>110.3</v>
      </c>
      <c r="D1526" s="52" t="s">
        <v>15</v>
      </c>
      <c r="E1526" s="593" t="s">
        <v>18</v>
      </c>
      <c r="F1526" s="706"/>
    </row>
    <row r="1527" spans="1:6">
      <c r="A1527" s="524"/>
      <c r="B1527" s="51" t="s">
        <v>19</v>
      </c>
      <c r="C1527" s="524">
        <v>23</v>
      </c>
      <c r="D1527" s="52" t="s">
        <v>15</v>
      </c>
      <c r="E1527" s="593" t="s">
        <v>18</v>
      </c>
      <c r="F1527" s="706"/>
    </row>
    <row r="1528" spans="1:6">
      <c r="A1528" s="524"/>
      <c r="B1528" s="51" t="s">
        <v>346</v>
      </c>
      <c r="C1528" s="524">
        <v>17.5</v>
      </c>
      <c r="D1528" s="52" t="s">
        <v>15</v>
      </c>
      <c r="E1528" s="593" t="s">
        <v>28</v>
      </c>
      <c r="F1528" s="706"/>
    </row>
    <row r="1529" spans="1:6">
      <c r="A1529" s="524"/>
      <c r="B1529" s="51" t="s">
        <v>34</v>
      </c>
      <c r="C1529" s="524">
        <v>12.4</v>
      </c>
      <c r="D1529" s="52" t="s">
        <v>15</v>
      </c>
      <c r="E1529" s="593" t="s">
        <v>18</v>
      </c>
      <c r="F1529" s="706"/>
    </row>
    <row r="1530" spans="1:6">
      <c r="A1530" s="524"/>
      <c r="B1530" s="51" t="s">
        <v>55</v>
      </c>
      <c r="C1530" s="524">
        <v>73</v>
      </c>
      <c r="D1530" s="52" t="s">
        <v>15</v>
      </c>
      <c r="E1530" s="593" t="s">
        <v>18</v>
      </c>
      <c r="F1530" s="706"/>
    </row>
    <row r="1531" spans="1:6">
      <c r="A1531" s="524"/>
      <c r="B1531" s="51" t="s">
        <v>130</v>
      </c>
      <c r="C1531" s="524">
        <v>33.9</v>
      </c>
      <c r="D1531" s="52" t="s">
        <v>15</v>
      </c>
      <c r="E1531" s="593" t="s">
        <v>18</v>
      </c>
      <c r="F1531" s="706"/>
    </row>
    <row r="1532" spans="1:6">
      <c r="A1532" s="524"/>
      <c r="B1532" s="51" t="s">
        <v>24</v>
      </c>
      <c r="C1532" s="524">
        <v>11.8</v>
      </c>
      <c r="D1532" s="52" t="s">
        <v>15</v>
      </c>
      <c r="E1532" s="593" t="s">
        <v>28</v>
      </c>
      <c r="F1532" s="706"/>
    </row>
    <row r="1533" spans="1:6">
      <c r="A1533" s="524"/>
      <c r="B1533" s="51" t="s">
        <v>285</v>
      </c>
      <c r="C1533" s="524">
        <v>30</v>
      </c>
      <c r="D1533" s="52" t="s">
        <v>15</v>
      </c>
      <c r="E1533" s="593" t="s">
        <v>18</v>
      </c>
      <c r="F1533" s="706"/>
    </row>
    <row r="1534" spans="1:6">
      <c r="A1534" s="524"/>
      <c r="B1534" s="51" t="s">
        <v>327</v>
      </c>
      <c r="C1534" s="524">
        <v>44.7</v>
      </c>
      <c r="D1534" s="52" t="s">
        <v>15</v>
      </c>
      <c r="E1534" s="593" t="s">
        <v>18</v>
      </c>
      <c r="F1534" s="706"/>
    </row>
    <row r="1535" spans="1:6">
      <c r="A1535" s="524"/>
      <c r="B1535" s="51" t="s">
        <v>347</v>
      </c>
      <c r="C1535" s="524">
        <v>68</v>
      </c>
      <c r="D1535" s="52" t="s">
        <v>27</v>
      </c>
      <c r="E1535" s="593" t="s">
        <v>42</v>
      </c>
      <c r="F1535" s="706"/>
    </row>
    <row r="1536" spans="1:6">
      <c r="A1536" s="532"/>
      <c r="B1536" s="51" t="s">
        <v>46</v>
      </c>
      <c r="C1536" s="524">
        <v>42</v>
      </c>
      <c r="D1536" s="52" t="s">
        <v>27</v>
      </c>
      <c r="E1536" s="593" t="s">
        <v>42</v>
      </c>
      <c r="F1536" s="706"/>
    </row>
    <row r="1537" spans="1:6" ht="25.5">
      <c r="A1537" s="69">
        <v>5</v>
      </c>
      <c r="B1537" s="57" t="s">
        <v>669</v>
      </c>
      <c r="C1537" s="466">
        <f>C1538+C1557</f>
        <v>991.69999999999993</v>
      </c>
      <c r="D1537" s="618"/>
      <c r="E1537" s="596"/>
      <c r="F1537" s="724" t="s">
        <v>348</v>
      </c>
    </row>
    <row r="1538" spans="1:6">
      <c r="A1538" s="69" t="s">
        <v>214</v>
      </c>
      <c r="B1538" s="78" t="s">
        <v>349</v>
      </c>
      <c r="C1538" s="71">
        <f>C1539+C1549+C1554</f>
        <v>619.79999999999995</v>
      </c>
      <c r="D1538" s="617"/>
      <c r="E1538" s="589"/>
      <c r="F1538" s="709"/>
    </row>
    <row r="1539" spans="1:6">
      <c r="A1539" s="69" t="s">
        <v>214</v>
      </c>
      <c r="B1539" s="79" t="s">
        <v>336</v>
      </c>
      <c r="C1539" s="71">
        <f>+C1540+C1541+C1543+C1544+C1545+C1546+C1547+C1548</f>
        <v>322.5</v>
      </c>
      <c r="D1539" s="60" t="s">
        <v>72</v>
      </c>
      <c r="E1539" s="589" t="s">
        <v>9</v>
      </c>
      <c r="F1539" s="709"/>
    </row>
    <row r="1540" spans="1:6">
      <c r="A1540" s="69" t="s">
        <v>11</v>
      </c>
      <c r="B1540" s="80" t="s">
        <v>39</v>
      </c>
      <c r="C1540" s="69">
        <v>61</v>
      </c>
      <c r="D1540" s="60" t="s">
        <v>15</v>
      </c>
      <c r="E1540" s="589" t="s">
        <v>18</v>
      </c>
      <c r="F1540" s="709"/>
    </row>
    <row r="1541" spans="1:6">
      <c r="A1541" s="69"/>
      <c r="B1541" s="80" t="s">
        <v>21</v>
      </c>
      <c r="C1541" s="69">
        <v>4.2</v>
      </c>
      <c r="D1541" s="60" t="s">
        <v>22</v>
      </c>
      <c r="E1541" s="589" t="s">
        <v>18</v>
      </c>
      <c r="F1541" s="709"/>
    </row>
    <row r="1542" spans="1:6">
      <c r="A1542" s="69"/>
      <c r="B1542" s="80"/>
      <c r="C1542" s="69"/>
      <c r="D1542" s="60" t="s">
        <v>67</v>
      </c>
      <c r="E1542" s="589" t="s">
        <v>68</v>
      </c>
      <c r="F1542" s="709"/>
    </row>
    <row r="1543" spans="1:6">
      <c r="A1543" s="69"/>
      <c r="B1543" s="80" t="s">
        <v>273</v>
      </c>
      <c r="C1543" s="69">
        <v>33.200000000000003</v>
      </c>
      <c r="D1543" s="60" t="s">
        <v>15</v>
      </c>
      <c r="E1543" s="589" t="s">
        <v>18</v>
      </c>
      <c r="F1543" s="709"/>
    </row>
    <row r="1544" spans="1:6">
      <c r="A1544" s="69"/>
      <c r="B1544" s="80" t="s">
        <v>346</v>
      </c>
      <c r="C1544" s="69">
        <v>44.8</v>
      </c>
      <c r="D1544" s="60" t="s">
        <v>15</v>
      </c>
      <c r="E1544" s="589" t="s">
        <v>28</v>
      </c>
      <c r="F1544" s="709"/>
    </row>
    <row r="1545" spans="1:6">
      <c r="A1545" s="69"/>
      <c r="B1545" s="80" t="s">
        <v>34</v>
      </c>
      <c r="C1545" s="69">
        <v>2.2999999999999998</v>
      </c>
      <c r="D1545" s="60" t="s">
        <v>15</v>
      </c>
      <c r="E1545" s="589" t="s">
        <v>18</v>
      </c>
      <c r="F1545" s="709"/>
    </row>
    <row r="1546" spans="1:6">
      <c r="A1546" s="69"/>
      <c r="B1546" s="80" t="s">
        <v>130</v>
      </c>
      <c r="C1546" s="69">
        <v>35.200000000000003</v>
      </c>
      <c r="D1546" s="60" t="s">
        <v>15</v>
      </c>
      <c r="E1546" s="589" t="s">
        <v>18</v>
      </c>
      <c r="F1546" s="709"/>
    </row>
    <row r="1547" spans="1:6">
      <c r="A1547" s="69"/>
      <c r="B1547" s="80" t="s">
        <v>350</v>
      </c>
      <c r="C1547" s="69">
        <v>6.1</v>
      </c>
      <c r="D1547" s="60" t="s">
        <v>15</v>
      </c>
      <c r="E1547" s="589" t="s">
        <v>18</v>
      </c>
      <c r="F1547" s="709"/>
    </row>
    <row r="1548" spans="1:6">
      <c r="A1548" s="69"/>
      <c r="B1548" s="80" t="s">
        <v>36</v>
      </c>
      <c r="C1548" s="69">
        <v>135.69999999999999</v>
      </c>
      <c r="D1548" s="60" t="s">
        <v>15</v>
      </c>
      <c r="E1548" s="589" t="s">
        <v>18</v>
      </c>
      <c r="F1548" s="709"/>
    </row>
    <row r="1549" spans="1:6">
      <c r="A1549" s="69"/>
      <c r="B1549" s="79" t="s">
        <v>30</v>
      </c>
      <c r="C1549" s="71">
        <f>C1550+C1551+C1552+C1553</f>
        <v>109.3</v>
      </c>
      <c r="D1549" s="60" t="s">
        <v>72</v>
      </c>
      <c r="E1549" s="589" t="s">
        <v>9</v>
      </c>
      <c r="F1549" s="709"/>
    </row>
    <row r="1550" spans="1:6">
      <c r="A1550" s="69"/>
      <c r="B1550" s="80" t="s">
        <v>294</v>
      </c>
      <c r="C1550" s="69">
        <v>19.399999999999999</v>
      </c>
      <c r="D1550" s="60" t="s">
        <v>15</v>
      </c>
      <c r="E1550" s="589" t="s">
        <v>18</v>
      </c>
      <c r="F1550" s="709"/>
    </row>
    <row r="1551" spans="1:6">
      <c r="A1551" s="69"/>
      <c r="B1551" s="80" t="s">
        <v>39</v>
      </c>
      <c r="C1551" s="69">
        <v>40.4</v>
      </c>
      <c r="D1551" s="60" t="s">
        <v>15</v>
      </c>
      <c r="E1551" s="589" t="s">
        <v>18</v>
      </c>
      <c r="F1551" s="709"/>
    </row>
    <row r="1552" spans="1:6">
      <c r="A1552" s="69"/>
      <c r="B1552" s="80" t="s">
        <v>104</v>
      </c>
      <c r="C1552" s="69">
        <v>11.2</v>
      </c>
      <c r="D1552" s="60" t="s">
        <v>15</v>
      </c>
      <c r="E1552" s="589" t="s">
        <v>18</v>
      </c>
      <c r="F1552" s="709"/>
    </row>
    <row r="1553" spans="1:6">
      <c r="A1553" s="69"/>
      <c r="B1553" s="80" t="s">
        <v>34</v>
      </c>
      <c r="C1553" s="69">
        <v>38.299999999999997</v>
      </c>
      <c r="D1553" s="60" t="s">
        <v>15</v>
      </c>
      <c r="E1553" s="589" t="s">
        <v>18</v>
      </c>
      <c r="F1553" s="709"/>
    </row>
    <row r="1554" spans="1:6">
      <c r="A1554" s="69"/>
      <c r="B1554" s="79" t="s">
        <v>169</v>
      </c>
      <c r="C1554" s="71">
        <v>188</v>
      </c>
      <c r="D1554" s="60" t="s">
        <v>15</v>
      </c>
      <c r="E1554" s="589" t="s">
        <v>42</v>
      </c>
      <c r="F1554" s="709"/>
    </row>
    <row r="1555" spans="1:6">
      <c r="A1555" s="69"/>
      <c r="B1555" s="80" t="s">
        <v>347</v>
      </c>
      <c r="C1555" s="69">
        <v>115.2</v>
      </c>
      <c r="D1555" s="60" t="s">
        <v>27</v>
      </c>
      <c r="E1555" s="589" t="s">
        <v>42</v>
      </c>
      <c r="F1555" s="709"/>
    </row>
    <row r="1556" spans="1:6">
      <c r="A1556" s="69"/>
      <c r="B1556" s="80" t="s">
        <v>46</v>
      </c>
      <c r="C1556" s="69">
        <v>44.2</v>
      </c>
      <c r="D1556" s="60" t="s">
        <v>27</v>
      </c>
      <c r="E1556" s="589" t="s">
        <v>42</v>
      </c>
      <c r="F1556" s="709"/>
    </row>
    <row r="1557" spans="1:6">
      <c r="A1557" s="69"/>
      <c r="B1557" s="124" t="s">
        <v>668</v>
      </c>
      <c r="C1557" s="71">
        <f>+C1558</f>
        <v>371.9</v>
      </c>
      <c r="D1557" s="60"/>
      <c r="E1557" s="589"/>
      <c r="F1557" s="709"/>
    </row>
    <row r="1558" spans="1:6">
      <c r="A1558" s="69"/>
      <c r="B1558" s="79" t="s">
        <v>169</v>
      </c>
      <c r="C1558" s="71">
        <f>C1559+C1560+C1561+C1562+C1563+C1564</f>
        <v>371.9</v>
      </c>
      <c r="D1558" s="60" t="s">
        <v>72</v>
      </c>
      <c r="E1558" s="589" t="s">
        <v>9</v>
      </c>
      <c r="F1558" s="709"/>
    </row>
    <row r="1559" spans="1:6">
      <c r="A1559" s="69"/>
      <c r="B1559" s="80" t="s">
        <v>130</v>
      </c>
      <c r="C1559" s="69">
        <v>14.3</v>
      </c>
      <c r="D1559" s="60" t="s">
        <v>15</v>
      </c>
      <c r="E1559" s="589" t="s">
        <v>18</v>
      </c>
      <c r="F1559" s="709"/>
    </row>
    <row r="1560" spans="1:6">
      <c r="A1560" s="69"/>
      <c r="B1560" s="80" t="s">
        <v>73</v>
      </c>
      <c r="C1560" s="69">
        <v>115.2</v>
      </c>
      <c r="D1560" s="60" t="s">
        <v>15</v>
      </c>
      <c r="E1560" s="589" t="s">
        <v>28</v>
      </c>
      <c r="F1560" s="709"/>
    </row>
    <row r="1561" spans="1:6">
      <c r="A1561" s="69"/>
      <c r="B1561" s="80" t="s">
        <v>36</v>
      </c>
      <c r="C1561" s="69">
        <v>125.7</v>
      </c>
      <c r="D1561" s="60" t="s">
        <v>15</v>
      </c>
      <c r="E1561" s="589" t="s">
        <v>28</v>
      </c>
      <c r="F1561" s="709"/>
    </row>
    <row r="1562" spans="1:6">
      <c r="A1562" s="69"/>
      <c r="B1562" s="80" t="s">
        <v>36</v>
      </c>
      <c r="C1562" s="69">
        <v>29.3</v>
      </c>
      <c r="D1562" s="60" t="s">
        <v>15</v>
      </c>
      <c r="E1562" s="589" t="s">
        <v>18</v>
      </c>
      <c r="F1562" s="709"/>
    </row>
    <row r="1563" spans="1:6">
      <c r="A1563" s="69"/>
      <c r="B1563" s="80" t="s">
        <v>19</v>
      </c>
      <c r="C1563" s="75">
        <v>12.4</v>
      </c>
      <c r="D1563" s="61" t="s">
        <v>15</v>
      </c>
      <c r="E1563" s="590" t="s">
        <v>18</v>
      </c>
      <c r="F1563" s="709"/>
    </row>
    <row r="1564" spans="1:6">
      <c r="A1564" s="75"/>
      <c r="B1564" s="556" t="s">
        <v>39</v>
      </c>
      <c r="C1564" s="65">
        <v>75</v>
      </c>
      <c r="D1564" s="61" t="s">
        <v>15</v>
      </c>
      <c r="E1564" s="590" t="s">
        <v>18</v>
      </c>
      <c r="F1564" s="707"/>
    </row>
    <row r="1565" spans="1:6">
      <c r="A1565" s="524">
        <v>6</v>
      </c>
      <c r="B1565" s="118" t="s">
        <v>351</v>
      </c>
      <c r="C1565" s="464">
        <f>+C1566</f>
        <v>589.9</v>
      </c>
      <c r="D1565" s="52"/>
      <c r="E1565" s="595"/>
      <c r="F1565" s="726" t="s">
        <v>352</v>
      </c>
    </row>
    <row r="1566" spans="1:6">
      <c r="A1566" s="524"/>
      <c r="B1566" s="50" t="s">
        <v>30</v>
      </c>
      <c r="C1566" s="78">
        <f>+C1567+C1568+C1570+C1571+C1572+C1573+C1574</f>
        <v>589.9</v>
      </c>
      <c r="D1566" s="133" t="s">
        <v>72</v>
      </c>
      <c r="E1566" s="142" t="s">
        <v>9</v>
      </c>
      <c r="F1566" s="727"/>
    </row>
    <row r="1567" spans="1:6">
      <c r="A1567" s="524" t="s">
        <v>11</v>
      </c>
      <c r="B1567" s="51" t="s">
        <v>353</v>
      </c>
      <c r="C1567" s="524">
        <v>94.9</v>
      </c>
      <c r="D1567" s="52" t="s">
        <v>15</v>
      </c>
      <c r="E1567" s="593" t="s">
        <v>28</v>
      </c>
      <c r="F1567" s="727"/>
    </row>
    <row r="1568" spans="1:6">
      <c r="A1568" s="524"/>
      <c r="B1568" s="51" t="s">
        <v>21</v>
      </c>
      <c r="C1568" s="524">
        <v>20.2</v>
      </c>
      <c r="D1568" s="52" t="s">
        <v>22</v>
      </c>
      <c r="E1568" s="593" t="s">
        <v>18</v>
      </c>
      <c r="F1568" s="727"/>
    </row>
    <row r="1569" spans="1:6">
      <c r="A1569" s="524"/>
      <c r="B1569" s="51"/>
      <c r="C1569" s="524"/>
      <c r="D1569" s="52" t="s">
        <v>67</v>
      </c>
      <c r="E1569" s="593" t="s">
        <v>68</v>
      </c>
      <c r="F1569" s="727"/>
    </row>
    <row r="1570" spans="1:6">
      <c r="A1570" s="524"/>
      <c r="B1570" s="51" t="s">
        <v>36</v>
      </c>
      <c r="C1570" s="524">
        <v>254.9</v>
      </c>
      <c r="D1570" s="52" t="s">
        <v>15</v>
      </c>
      <c r="E1570" s="593" t="s">
        <v>18</v>
      </c>
      <c r="F1570" s="727"/>
    </row>
    <row r="1571" spans="1:6">
      <c r="A1571" s="524"/>
      <c r="B1571" s="51" t="s">
        <v>36</v>
      </c>
      <c r="C1571" s="524">
        <v>51.6</v>
      </c>
      <c r="D1571" s="52" t="s">
        <v>15</v>
      </c>
      <c r="E1571" s="593" t="s">
        <v>28</v>
      </c>
      <c r="F1571" s="727"/>
    </row>
    <row r="1572" spans="1:6">
      <c r="A1572" s="524"/>
      <c r="B1572" s="51" t="s">
        <v>24</v>
      </c>
      <c r="C1572" s="524">
        <v>8.9</v>
      </c>
      <c r="D1572" s="52" t="s">
        <v>15</v>
      </c>
      <c r="E1572" s="593" t="s">
        <v>28</v>
      </c>
      <c r="F1572" s="727"/>
    </row>
    <row r="1573" spans="1:6">
      <c r="A1573" s="524"/>
      <c r="B1573" s="51" t="s">
        <v>39</v>
      </c>
      <c r="C1573" s="524">
        <v>129</v>
      </c>
      <c r="D1573" s="52" t="s">
        <v>15</v>
      </c>
      <c r="E1573" s="593" t="s">
        <v>18</v>
      </c>
      <c r="F1573" s="727"/>
    </row>
    <row r="1574" spans="1:6">
      <c r="A1574" s="532"/>
      <c r="B1574" s="53" t="s">
        <v>17</v>
      </c>
      <c r="C1574" s="565">
        <v>30.4</v>
      </c>
      <c r="D1574" s="54" t="s">
        <v>15</v>
      </c>
      <c r="E1574" s="593" t="s">
        <v>18</v>
      </c>
      <c r="F1574" s="728"/>
    </row>
    <row r="1575" spans="1:6">
      <c r="A1575" s="524">
        <v>7</v>
      </c>
      <c r="B1575" s="118" t="s">
        <v>351</v>
      </c>
      <c r="C1575" s="464">
        <f>+C1576+C1590</f>
        <v>732.5</v>
      </c>
      <c r="D1575" s="52"/>
      <c r="E1575" s="595"/>
      <c r="F1575" s="724" t="s">
        <v>354</v>
      </c>
    </row>
    <row r="1576" spans="1:6">
      <c r="A1576" s="524"/>
      <c r="B1576" s="50" t="s">
        <v>12</v>
      </c>
      <c r="C1576" s="78">
        <f>+C1577+C1578+C1580+C1581+C1582+C1583+C1584+C1585+C1586+C1587+C1588+C1589</f>
        <v>483.29999999999995</v>
      </c>
      <c r="D1576" s="133" t="s">
        <v>72</v>
      </c>
      <c r="E1576" s="142" t="s">
        <v>9</v>
      </c>
      <c r="F1576" s="709"/>
    </row>
    <row r="1577" spans="1:6">
      <c r="A1577" s="524" t="s">
        <v>11</v>
      </c>
      <c r="B1577" s="51" t="s">
        <v>273</v>
      </c>
      <c r="C1577" s="565">
        <v>29.4</v>
      </c>
      <c r="D1577" s="52" t="s">
        <v>15</v>
      </c>
      <c r="E1577" s="593" t="s">
        <v>18</v>
      </c>
      <c r="F1577" s="709"/>
    </row>
    <row r="1578" spans="1:6">
      <c r="A1578" s="524"/>
      <c r="B1578" s="51" t="s">
        <v>21</v>
      </c>
      <c r="C1578" s="565">
        <v>20.2</v>
      </c>
      <c r="D1578" s="52" t="s">
        <v>22</v>
      </c>
      <c r="E1578" s="593" t="s">
        <v>18</v>
      </c>
      <c r="F1578" s="709"/>
    </row>
    <row r="1579" spans="1:6">
      <c r="A1579" s="524"/>
      <c r="B1579" s="51"/>
      <c r="C1579" s="565"/>
      <c r="D1579" s="52" t="s">
        <v>67</v>
      </c>
      <c r="E1579" s="593" t="s">
        <v>68</v>
      </c>
      <c r="F1579" s="709"/>
    </row>
    <row r="1580" spans="1:6">
      <c r="A1580" s="524"/>
      <c r="B1580" s="51" t="s">
        <v>36</v>
      </c>
      <c r="C1580" s="565">
        <v>26.2</v>
      </c>
      <c r="D1580" s="52" t="s">
        <v>15</v>
      </c>
      <c r="E1580" s="593" t="s">
        <v>28</v>
      </c>
      <c r="F1580" s="709"/>
    </row>
    <row r="1581" spans="1:6">
      <c r="A1581" s="524"/>
      <c r="B1581" s="51" t="s">
        <v>355</v>
      </c>
      <c r="C1581" s="565">
        <v>15</v>
      </c>
      <c r="D1581" s="52" t="s">
        <v>15</v>
      </c>
      <c r="E1581" s="593" t="s">
        <v>18</v>
      </c>
      <c r="F1581" s="709"/>
    </row>
    <row r="1582" spans="1:6">
      <c r="A1582" s="524"/>
      <c r="B1582" s="51" t="s">
        <v>130</v>
      </c>
      <c r="C1582" s="565">
        <v>10</v>
      </c>
      <c r="D1582" s="52" t="s">
        <v>15</v>
      </c>
      <c r="E1582" s="593" t="s">
        <v>18</v>
      </c>
      <c r="F1582" s="709"/>
    </row>
    <row r="1583" spans="1:6">
      <c r="A1583" s="524"/>
      <c r="B1583" s="51" t="s">
        <v>24</v>
      </c>
      <c r="C1583" s="565">
        <v>74.7</v>
      </c>
      <c r="D1583" s="52" t="s">
        <v>15</v>
      </c>
      <c r="E1583" s="593" t="s">
        <v>28</v>
      </c>
      <c r="F1583" s="709"/>
    </row>
    <row r="1584" spans="1:6">
      <c r="A1584" s="524"/>
      <c r="B1584" s="51" t="s">
        <v>39</v>
      </c>
      <c r="C1584" s="565">
        <v>76.3</v>
      </c>
      <c r="D1584" s="52" t="s">
        <v>15</v>
      </c>
      <c r="E1584" s="593" t="s">
        <v>18</v>
      </c>
      <c r="F1584" s="709"/>
    </row>
    <row r="1585" spans="1:6">
      <c r="A1585" s="524"/>
      <c r="B1585" s="51" t="s">
        <v>63</v>
      </c>
      <c r="C1585" s="565">
        <v>70.2</v>
      </c>
      <c r="D1585" s="52" t="s">
        <v>15</v>
      </c>
      <c r="E1585" s="593" t="s">
        <v>18</v>
      </c>
      <c r="F1585" s="709"/>
    </row>
    <row r="1586" spans="1:6">
      <c r="A1586" s="524"/>
      <c r="B1586" s="51" t="s">
        <v>221</v>
      </c>
      <c r="C1586" s="565">
        <v>20</v>
      </c>
      <c r="D1586" s="52" t="s">
        <v>15</v>
      </c>
      <c r="E1586" s="593" t="s">
        <v>18</v>
      </c>
      <c r="F1586" s="709"/>
    </row>
    <row r="1587" spans="1:6">
      <c r="A1587" s="524"/>
      <c r="B1587" s="51" t="s">
        <v>329</v>
      </c>
      <c r="C1587" s="565">
        <v>24.5</v>
      </c>
      <c r="D1587" s="52" t="s">
        <v>15</v>
      </c>
      <c r="E1587" s="593" t="s">
        <v>42</v>
      </c>
      <c r="F1587" s="709"/>
    </row>
    <row r="1588" spans="1:6">
      <c r="A1588" s="524"/>
      <c r="B1588" s="51" t="s">
        <v>130</v>
      </c>
      <c r="C1588" s="565">
        <v>16.7</v>
      </c>
      <c r="D1588" s="52" t="s">
        <v>15</v>
      </c>
      <c r="E1588" s="593" t="s">
        <v>42</v>
      </c>
      <c r="F1588" s="709"/>
    </row>
    <row r="1589" spans="1:6">
      <c r="A1589" s="524"/>
      <c r="B1589" s="51" t="s">
        <v>356</v>
      </c>
      <c r="C1589" s="565">
        <v>100.1</v>
      </c>
      <c r="D1589" s="52" t="s">
        <v>15</v>
      </c>
      <c r="E1589" s="593" t="s">
        <v>42</v>
      </c>
      <c r="F1589" s="709"/>
    </row>
    <row r="1590" spans="1:6">
      <c r="A1590" s="524"/>
      <c r="B1590" s="50" t="s">
        <v>38</v>
      </c>
      <c r="C1590" s="78">
        <f>+C1591+C1592+C1593+C1594+C1595</f>
        <v>249.2</v>
      </c>
      <c r="D1590" s="133" t="s">
        <v>72</v>
      </c>
      <c r="E1590" s="142" t="s">
        <v>9</v>
      </c>
      <c r="F1590" s="709"/>
    </row>
    <row r="1591" spans="1:6">
      <c r="A1591" s="524" t="s">
        <v>29</v>
      </c>
      <c r="B1591" s="51" t="s">
        <v>75</v>
      </c>
      <c r="C1591" s="565">
        <v>131.6</v>
      </c>
      <c r="D1591" s="52" t="s">
        <v>15</v>
      </c>
      <c r="E1591" s="593" t="s">
        <v>28</v>
      </c>
      <c r="F1591" s="709"/>
    </row>
    <row r="1592" spans="1:6">
      <c r="A1592" s="524"/>
      <c r="B1592" s="51" t="s">
        <v>357</v>
      </c>
      <c r="C1592" s="565">
        <v>17</v>
      </c>
      <c r="D1592" s="52" t="s">
        <v>15</v>
      </c>
      <c r="E1592" s="593" t="s">
        <v>28</v>
      </c>
      <c r="F1592" s="709"/>
    </row>
    <row r="1593" spans="1:6">
      <c r="A1593" s="524"/>
      <c r="B1593" s="51" t="s">
        <v>39</v>
      </c>
      <c r="C1593" s="565">
        <v>12.5</v>
      </c>
      <c r="D1593" s="52" t="s">
        <v>15</v>
      </c>
      <c r="E1593" s="593" t="s">
        <v>28</v>
      </c>
      <c r="F1593" s="709"/>
    </row>
    <row r="1594" spans="1:6">
      <c r="A1594" s="524"/>
      <c r="B1594" s="51" t="s">
        <v>358</v>
      </c>
      <c r="C1594" s="565">
        <v>10.3</v>
      </c>
      <c r="D1594" s="52" t="s">
        <v>15</v>
      </c>
      <c r="E1594" s="593" t="s">
        <v>28</v>
      </c>
      <c r="F1594" s="709"/>
    </row>
    <row r="1595" spans="1:6">
      <c r="A1595" s="524"/>
      <c r="B1595" s="51" t="s">
        <v>218</v>
      </c>
      <c r="C1595" s="565">
        <v>77.8</v>
      </c>
      <c r="D1595" s="52" t="s">
        <v>15</v>
      </c>
      <c r="E1595" s="593" t="s">
        <v>18</v>
      </c>
      <c r="F1595" s="709"/>
    </row>
    <row r="1596" spans="1:6">
      <c r="A1596" s="71"/>
      <c r="B1596" s="50"/>
      <c r="C1596" s="86">
        <f>C1456+C1474+C1501+C1521+C1537+C1565+C1575</f>
        <v>5756.5999999999995</v>
      </c>
      <c r="D1596" s="469"/>
      <c r="E1596" s="86"/>
      <c r="F1596" s="470"/>
    </row>
    <row r="1597" spans="1:6">
      <c r="A1597" s="715" t="s">
        <v>670</v>
      </c>
      <c r="B1597" s="716"/>
      <c r="C1597" s="719"/>
      <c r="D1597" s="716"/>
      <c r="E1597" s="719"/>
      <c r="F1597" s="717"/>
    </row>
    <row r="1598" spans="1:6">
      <c r="A1598" s="87">
        <v>1</v>
      </c>
      <c r="B1598" s="118" t="s">
        <v>671</v>
      </c>
      <c r="C1598" s="464">
        <f>+C1599+C1603</f>
        <v>487.8</v>
      </c>
      <c r="D1598" s="52"/>
      <c r="E1598" s="595"/>
      <c r="F1598" s="708" t="s">
        <v>359</v>
      </c>
    </row>
    <row r="1599" spans="1:6">
      <c r="A1599" s="66" t="s">
        <v>214</v>
      </c>
      <c r="B1599" s="50" t="s">
        <v>30</v>
      </c>
      <c r="C1599" s="121">
        <f>+C1600+C1601+C1602</f>
        <v>424</v>
      </c>
      <c r="D1599" s="133" t="s">
        <v>72</v>
      </c>
      <c r="E1599" s="142" t="s">
        <v>9</v>
      </c>
      <c r="F1599" s="706"/>
    </row>
    <row r="1600" spans="1:6">
      <c r="A1600" s="524" t="s">
        <v>11</v>
      </c>
      <c r="B1600" s="51" t="s">
        <v>17</v>
      </c>
      <c r="C1600" s="122">
        <v>157</v>
      </c>
      <c r="D1600" s="52" t="s">
        <v>15</v>
      </c>
      <c r="E1600" s="593" t="s">
        <v>18</v>
      </c>
      <c r="F1600" s="706"/>
    </row>
    <row r="1601" spans="1:6">
      <c r="A1601" s="524"/>
      <c r="B1601" s="51" t="s">
        <v>41</v>
      </c>
      <c r="C1601" s="122">
        <v>83.1</v>
      </c>
      <c r="D1601" s="52" t="s">
        <v>15</v>
      </c>
      <c r="E1601" s="593" t="s">
        <v>42</v>
      </c>
      <c r="F1601" s="706"/>
    </row>
    <row r="1602" spans="1:6">
      <c r="A1602" s="524"/>
      <c r="B1602" s="51" t="s">
        <v>36</v>
      </c>
      <c r="C1602" s="122">
        <v>183.9</v>
      </c>
      <c r="D1602" s="52" t="s">
        <v>15</v>
      </c>
      <c r="E1602" s="593" t="s">
        <v>18</v>
      </c>
      <c r="F1602" s="706"/>
    </row>
    <row r="1603" spans="1:6">
      <c r="A1603" s="524"/>
      <c r="B1603" s="50" t="s">
        <v>12</v>
      </c>
      <c r="C1603" s="121">
        <v>63.8</v>
      </c>
      <c r="D1603" s="52" t="s">
        <v>13</v>
      </c>
      <c r="E1603" s="593" t="s">
        <v>9</v>
      </c>
      <c r="F1603" s="706"/>
    </row>
    <row r="1604" spans="1:6">
      <c r="A1604" s="524" t="s">
        <v>29</v>
      </c>
      <c r="B1604" s="51" t="s">
        <v>159</v>
      </c>
      <c r="C1604" s="122">
        <v>31.9</v>
      </c>
      <c r="D1604" s="52" t="s">
        <v>15</v>
      </c>
      <c r="E1604" s="593" t="s">
        <v>18</v>
      </c>
      <c r="F1604" s="706"/>
    </row>
    <row r="1605" spans="1:6">
      <c r="A1605" s="82"/>
      <c r="B1605" s="53" t="s">
        <v>323</v>
      </c>
      <c r="C1605" s="123">
        <v>31.9</v>
      </c>
      <c r="D1605" s="54" t="s">
        <v>15</v>
      </c>
      <c r="E1605" s="594" t="s">
        <v>18</v>
      </c>
      <c r="F1605" s="707"/>
    </row>
    <row r="1606" spans="1:6">
      <c r="A1606" s="66"/>
      <c r="B1606" s="118" t="s">
        <v>671</v>
      </c>
      <c r="C1606" s="467">
        <f>+C1607</f>
        <v>202.3</v>
      </c>
      <c r="D1606" s="52"/>
      <c r="E1606" s="593"/>
      <c r="F1606" s="708" t="s">
        <v>360</v>
      </c>
    </row>
    <row r="1607" spans="1:6">
      <c r="A1607" s="66"/>
      <c r="B1607" s="50" t="s">
        <v>12</v>
      </c>
      <c r="C1607" s="78">
        <v>202.3</v>
      </c>
      <c r="D1607" s="133" t="s">
        <v>72</v>
      </c>
      <c r="E1607" s="142" t="s">
        <v>9</v>
      </c>
      <c r="F1607" s="706"/>
    </row>
    <row r="1608" spans="1:6">
      <c r="A1608" s="524" t="s">
        <v>11</v>
      </c>
      <c r="B1608" s="67" t="s">
        <v>273</v>
      </c>
      <c r="C1608" s="524">
        <v>32.1</v>
      </c>
      <c r="D1608" s="52" t="s">
        <v>15</v>
      </c>
      <c r="E1608" s="593" t="s">
        <v>18</v>
      </c>
      <c r="F1608" s="706"/>
    </row>
    <row r="1609" spans="1:6">
      <c r="A1609" s="66"/>
      <c r="B1609" s="67" t="s">
        <v>39</v>
      </c>
      <c r="C1609" s="524">
        <v>145.19999999999999</v>
      </c>
      <c r="D1609" s="88"/>
      <c r="E1609" s="593"/>
      <c r="F1609" s="706"/>
    </row>
    <row r="1610" spans="1:6">
      <c r="A1610" s="66"/>
      <c r="B1610" s="51" t="s">
        <v>21</v>
      </c>
      <c r="C1610" s="524">
        <v>25</v>
      </c>
      <c r="D1610" s="52" t="s">
        <v>22</v>
      </c>
      <c r="E1610" s="593" t="s">
        <v>18</v>
      </c>
      <c r="F1610" s="706"/>
    </row>
    <row r="1611" spans="1:6">
      <c r="A1611" s="82"/>
      <c r="B1611" s="53"/>
      <c r="C1611" s="532"/>
      <c r="D1611" s="54" t="s">
        <v>67</v>
      </c>
      <c r="E1611" s="594" t="s">
        <v>68</v>
      </c>
      <c r="F1611" s="707"/>
    </row>
    <row r="1612" spans="1:6">
      <c r="A1612" s="64"/>
      <c r="B1612" s="53"/>
      <c r="C1612" s="468">
        <f>C1598+C1606</f>
        <v>690.1</v>
      </c>
      <c r="D1612" s="54"/>
      <c r="E1612" s="65"/>
      <c r="F1612" s="528"/>
    </row>
    <row r="1613" spans="1:6">
      <c r="A1613" s="715" t="s">
        <v>672</v>
      </c>
      <c r="B1613" s="716"/>
      <c r="C1613" s="716"/>
      <c r="D1613" s="716"/>
      <c r="E1613" s="716"/>
      <c r="F1613" s="717"/>
    </row>
    <row r="1614" spans="1:6">
      <c r="A1614" s="66"/>
      <c r="B1614" s="118" t="s">
        <v>673</v>
      </c>
      <c r="C1614" s="464">
        <f>+C1615+C1621+C1628</f>
        <v>590.59999999999991</v>
      </c>
      <c r="D1614" s="52"/>
      <c r="E1614" s="595"/>
      <c r="F1614" s="708" t="s">
        <v>900</v>
      </c>
    </row>
    <row r="1615" spans="1:6">
      <c r="A1615" s="66"/>
      <c r="B1615" s="50" t="s">
        <v>12</v>
      </c>
      <c r="C1615" s="78">
        <f>+C1617+C1616+C1618+C1619+C1620</f>
        <v>137.6</v>
      </c>
      <c r="D1615" s="133" t="s">
        <v>72</v>
      </c>
      <c r="E1615" s="142" t="s">
        <v>9</v>
      </c>
      <c r="F1615" s="706"/>
    </row>
    <row r="1616" spans="1:6">
      <c r="A1616" s="524" t="s">
        <v>11</v>
      </c>
      <c r="B1616" s="67" t="s">
        <v>17</v>
      </c>
      <c r="C1616" s="524">
        <v>61.6</v>
      </c>
      <c r="D1616" s="52" t="s">
        <v>15</v>
      </c>
      <c r="E1616" s="593" t="s">
        <v>18</v>
      </c>
      <c r="F1616" s="706"/>
    </row>
    <row r="1617" spans="1:6">
      <c r="A1617" s="66"/>
      <c r="B1617" s="67" t="s">
        <v>39</v>
      </c>
      <c r="C1617" s="524">
        <v>5.3</v>
      </c>
      <c r="D1617" s="52" t="s">
        <v>15</v>
      </c>
      <c r="E1617" s="593" t="s">
        <v>18</v>
      </c>
      <c r="F1617" s="706"/>
    </row>
    <row r="1618" spans="1:6">
      <c r="A1618" s="66"/>
      <c r="B1618" s="51" t="s">
        <v>273</v>
      </c>
      <c r="C1618" s="524">
        <v>53.7</v>
      </c>
      <c r="D1618" s="52" t="s">
        <v>15</v>
      </c>
      <c r="E1618" s="593" t="s">
        <v>18</v>
      </c>
      <c r="F1618" s="706"/>
    </row>
    <row r="1619" spans="1:6">
      <c r="A1619" s="66"/>
      <c r="B1619" s="51" t="s">
        <v>39</v>
      </c>
      <c r="C1619" s="524">
        <v>10.8</v>
      </c>
      <c r="D1619" s="52" t="s">
        <v>15</v>
      </c>
      <c r="E1619" s="593" t="s">
        <v>18</v>
      </c>
      <c r="F1619" s="706"/>
    </row>
    <row r="1620" spans="1:6">
      <c r="A1620" s="524"/>
      <c r="B1620" s="72" t="s">
        <v>40</v>
      </c>
      <c r="C1620" s="524">
        <v>6.2</v>
      </c>
      <c r="D1620" s="52" t="s">
        <v>15</v>
      </c>
      <c r="E1620" s="593" t="s">
        <v>28</v>
      </c>
      <c r="F1620" s="706"/>
    </row>
    <row r="1621" spans="1:6">
      <c r="A1621" s="524"/>
      <c r="B1621" s="50" t="s">
        <v>30</v>
      </c>
      <c r="C1621" s="78">
        <v>393.7</v>
      </c>
      <c r="D1621" s="133" t="s">
        <v>72</v>
      </c>
      <c r="E1621" s="142" t="s">
        <v>9</v>
      </c>
      <c r="F1621" s="706"/>
    </row>
    <row r="1622" spans="1:6">
      <c r="A1622" s="524" t="s">
        <v>29</v>
      </c>
      <c r="B1622" s="67" t="s">
        <v>17</v>
      </c>
      <c r="C1622" s="524">
        <v>29.2</v>
      </c>
      <c r="D1622" s="52" t="s">
        <v>15</v>
      </c>
      <c r="E1622" s="593" t="s">
        <v>18</v>
      </c>
      <c r="F1622" s="706"/>
    </row>
    <row r="1623" spans="1:6">
      <c r="A1623" s="524"/>
      <c r="B1623" s="67" t="s">
        <v>39</v>
      </c>
      <c r="C1623" s="524">
        <v>19</v>
      </c>
      <c r="D1623" s="52" t="s">
        <v>15</v>
      </c>
      <c r="E1623" s="593" t="s">
        <v>18</v>
      </c>
      <c r="F1623" s="706"/>
    </row>
    <row r="1624" spans="1:6">
      <c r="A1624" s="524"/>
      <c r="B1624" s="51" t="s">
        <v>218</v>
      </c>
      <c r="C1624" s="524">
        <v>35</v>
      </c>
      <c r="D1624" s="52" t="s">
        <v>15</v>
      </c>
      <c r="E1624" s="593" t="s">
        <v>18</v>
      </c>
      <c r="F1624" s="706"/>
    </row>
    <row r="1625" spans="1:6">
      <c r="A1625" s="524"/>
      <c r="B1625" s="51" t="s">
        <v>36</v>
      </c>
      <c r="C1625" s="524">
        <v>300.5</v>
      </c>
      <c r="D1625" s="52" t="s">
        <v>15</v>
      </c>
      <c r="E1625" s="593" t="s">
        <v>18</v>
      </c>
      <c r="F1625" s="706"/>
    </row>
    <row r="1626" spans="1:6">
      <c r="A1626" s="524"/>
      <c r="B1626" s="51" t="s">
        <v>21</v>
      </c>
      <c r="C1626" s="524">
        <v>10</v>
      </c>
      <c r="D1626" s="52" t="s">
        <v>22</v>
      </c>
      <c r="E1626" s="593" t="s">
        <v>18</v>
      </c>
      <c r="F1626" s="706"/>
    </row>
    <row r="1627" spans="1:6">
      <c r="A1627" s="524"/>
      <c r="B1627" s="51"/>
      <c r="C1627" s="524"/>
      <c r="D1627" s="52" t="s">
        <v>67</v>
      </c>
      <c r="E1627" s="593" t="s">
        <v>68</v>
      </c>
      <c r="F1627" s="706"/>
    </row>
    <row r="1628" spans="1:6">
      <c r="A1628" s="532"/>
      <c r="B1628" s="53" t="s">
        <v>169</v>
      </c>
      <c r="C1628" s="532">
        <v>59.3</v>
      </c>
      <c r="D1628" s="54" t="s">
        <v>27</v>
      </c>
      <c r="E1628" s="594" t="s">
        <v>42</v>
      </c>
      <c r="F1628" s="707"/>
    </row>
    <row r="1629" spans="1:6">
      <c r="A1629" s="715" t="s">
        <v>674</v>
      </c>
      <c r="B1629" s="716"/>
      <c r="C1629" s="716"/>
      <c r="D1629" s="716"/>
      <c r="E1629" s="716"/>
      <c r="F1629" s="717"/>
    </row>
    <row r="1630" spans="1:6">
      <c r="A1630" s="66"/>
      <c r="B1630" s="118" t="s">
        <v>675</v>
      </c>
      <c r="C1630" s="464">
        <f>+C1631+C1636+C1643</f>
        <v>720.9</v>
      </c>
      <c r="D1630" s="52"/>
      <c r="E1630" s="595"/>
      <c r="F1630" s="708" t="s">
        <v>361</v>
      </c>
    </row>
    <row r="1631" spans="1:6">
      <c r="A1631" s="66"/>
      <c r="B1631" s="50" t="s">
        <v>12</v>
      </c>
      <c r="C1631" s="78">
        <v>142.5</v>
      </c>
      <c r="D1631" s="133" t="s">
        <v>72</v>
      </c>
      <c r="E1631" s="142" t="s">
        <v>9</v>
      </c>
      <c r="F1631" s="706"/>
    </row>
    <row r="1632" spans="1:6">
      <c r="A1632" s="524" t="s">
        <v>11</v>
      </c>
      <c r="B1632" s="67" t="s">
        <v>17</v>
      </c>
      <c r="C1632" s="524">
        <v>41.4</v>
      </c>
      <c r="D1632" s="52" t="s">
        <v>15</v>
      </c>
      <c r="E1632" s="593" t="s">
        <v>18</v>
      </c>
      <c r="F1632" s="706"/>
    </row>
    <row r="1633" spans="1:6">
      <c r="A1633" s="66"/>
      <c r="B1633" s="67" t="s">
        <v>218</v>
      </c>
      <c r="C1633" s="524">
        <v>35.700000000000003</v>
      </c>
      <c r="D1633" s="52" t="s">
        <v>15</v>
      </c>
      <c r="E1633" s="593" t="s">
        <v>18</v>
      </c>
      <c r="F1633" s="706"/>
    </row>
    <row r="1634" spans="1:6">
      <c r="A1634" s="66"/>
      <c r="B1634" s="51" t="s">
        <v>273</v>
      </c>
      <c r="C1634" s="524">
        <v>56.8</v>
      </c>
      <c r="D1634" s="52" t="s">
        <v>15</v>
      </c>
      <c r="E1634" s="593" t="s">
        <v>18</v>
      </c>
      <c r="F1634" s="706"/>
    </row>
    <row r="1635" spans="1:6">
      <c r="A1635" s="66"/>
      <c r="B1635" s="51" t="s">
        <v>39</v>
      </c>
      <c r="C1635" s="524">
        <v>8.6</v>
      </c>
      <c r="D1635" s="52" t="s">
        <v>15</v>
      </c>
      <c r="E1635" s="593" t="s">
        <v>18</v>
      </c>
      <c r="F1635" s="706"/>
    </row>
    <row r="1636" spans="1:6">
      <c r="A1636" s="524"/>
      <c r="B1636" s="50" t="s">
        <v>30</v>
      </c>
      <c r="C1636" s="78">
        <v>343.5</v>
      </c>
      <c r="D1636" s="133" t="s">
        <v>72</v>
      </c>
      <c r="E1636" s="142" t="s">
        <v>9</v>
      </c>
      <c r="F1636" s="706"/>
    </row>
    <row r="1637" spans="1:6">
      <c r="A1637" s="524" t="s">
        <v>29</v>
      </c>
      <c r="B1637" s="67" t="s">
        <v>17</v>
      </c>
      <c r="C1637" s="524">
        <v>62</v>
      </c>
      <c r="D1637" s="52" t="s">
        <v>15</v>
      </c>
      <c r="E1637" s="593" t="s">
        <v>18</v>
      </c>
      <c r="F1637" s="706"/>
    </row>
    <row r="1638" spans="1:6">
      <c r="A1638" s="524"/>
      <c r="B1638" s="67" t="s">
        <v>362</v>
      </c>
      <c r="C1638" s="524">
        <v>27</v>
      </c>
      <c r="D1638" s="52" t="s">
        <v>15</v>
      </c>
      <c r="E1638" s="593" t="s">
        <v>18</v>
      </c>
      <c r="F1638" s="706"/>
    </row>
    <row r="1639" spans="1:6">
      <c r="A1639" s="524"/>
      <c r="B1639" s="51" t="s">
        <v>36</v>
      </c>
      <c r="C1639" s="524">
        <v>205.7</v>
      </c>
      <c r="D1639" s="52" t="s">
        <v>15</v>
      </c>
      <c r="E1639" s="593" t="s">
        <v>18</v>
      </c>
      <c r="F1639" s="706"/>
    </row>
    <row r="1640" spans="1:6">
      <c r="A1640" s="524"/>
      <c r="B1640" s="51" t="s">
        <v>21</v>
      </c>
      <c r="C1640" s="524">
        <v>8.5</v>
      </c>
      <c r="D1640" s="52" t="s">
        <v>22</v>
      </c>
      <c r="E1640" s="593" t="s">
        <v>18</v>
      </c>
      <c r="F1640" s="706"/>
    </row>
    <row r="1641" spans="1:6">
      <c r="A1641" s="524"/>
      <c r="B1641" s="51"/>
      <c r="C1641" s="524"/>
      <c r="D1641" s="52" t="s">
        <v>67</v>
      </c>
      <c r="E1641" s="593" t="s">
        <v>68</v>
      </c>
      <c r="F1641" s="706"/>
    </row>
    <row r="1642" spans="1:6">
      <c r="A1642" s="524"/>
      <c r="B1642" s="62" t="s">
        <v>39</v>
      </c>
      <c r="C1642" s="524">
        <v>40.299999999999997</v>
      </c>
      <c r="D1642" s="52" t="s">
        <v>15</v>
      </c>
      <c r="E1642" s="593" t="s">
        <v>18</v>
      </c>
      <c r="F1642" s="706"/>
    </row>
    <row r="1643" spans="1:6">
      <c r="A1643" s="524"/>
      <c r="B1643" s="74" t="s">
        <v>169</v>
      </c>
      <c r="C1643" s="78">
        <f>+C1644+C1645+C1646+C1648+C1647+C1649</f>
        <v>234.9</v>
      </c>
      <c r="D1643" s="52"/>
      <c r="E1643" s="593"/>
      <c r="F1643" s="706"/>
    </row>
    <row r="1644" spans="1:6">
      <c r="A1644" s="524" t="s">
        <v>37</v>
      </c>
      <c r="B1644" s="51" t="s">
        <v>45</v>
      </c>
      <c r="C1644" s="524">
        <v>27.1</v>
      </c>
      <c r="D1644" s="52" t="s">
        <v>15</v>
      </c>
      <c r="E1644" s="593" t="s">
        <v>42</v>
      </c>
      <c r="F1644" s="706"/>
    </row>
    <row r="1645" spans="1:6">
      <c r="A1645" s="524"/>
      <c r="B1645" s="62" t="s">
        <v>41</v>
      </c>
      <c r="C1645" s="524">
        <v>55.1</v>
      </c>
      <c r="D1645" s="52" t="s">
        <v>15</v>
      </c>
      <c r="E1645" s="593" t="s">
        <v>42</v>
      </c>
      <c r="F1645" s="706"/>
    </row>
    <row r="1646" spans="1:6">
      <c r="A1646" s="524"/>
      <c r="B1646" s="62" t="s">
        <v>39</v>
      </c>
      <c r="C1646" s="524">
        <v>65.2</v>
      </c>
      <c r="D1646" s="52" t="s">
        <v>15</v>
      </c>
      <c r="E1646" s="593" t="s">
        <v>42</v>
      </c>
      <c r="F1646" s="706"/>
    </row>
    <row r="1647" spans="1:6">
      <c r="A1647" s="524"/>
      <c r="B1647" s="62" t="s">
        <v>215</v>
      </c>
      <c r="C1647" s="524">
        <v>9.3000000000000007</v>
      </c>
      <c r="D1647" s="52" t="s">
        <v>15</v>
      </c>
      <c r="E1647" s="593" t="s">
        <v>42</v>
      </c>
      <c r="F1647" s="706"/>
    </row>
    <row r="1648" spans="1:6">
      <c r="A1648" s="524"/>
      <c r="B1648" s="51" t="s">
        <v>101</v>
      </c>
      <c r="C1648" s="524">
        <v>23.1</v>
      </c>
      <c r="D1648" s="52" t="s">
        <v>15</v>
      </c>
      <c r="E1648" s="593" t="s">
        <v>42</v>
      </c>
      <c r="F1648" s="706"/>
    </row>
    <row r="1649" spans="1:6">
      <c r="A1649" s="532"/>
      <c r="B1649" s="53" t="s">
        <v>36</v>
      </c>
      <c r="C1649" s="532">
        <v>55.1</v>
      </c>
      <c r="D1649" s="54" t="s">
        <v>15</v>
      </c>
      <c r="E1649" s="594" t="s">
        <v>42</v>
      </c>
      <c r="F1649" s="707"/>
    </row>
    <row r="1650" spans="1:6" ht="15.75">
      <c r="A1650" s="434"/>
      <c r="B1650" s="435" t="s">
        <v>106</v>
      </c>
      <c r="C1650" s="436">
        <f>C1335+C1424+C1426+C1596+C1612+C1614+C1630</f>
        <v>23180.359999999997</v>
      </c>
      <c r="D1650" s="437"/>
      <c r="E1650" s="438"/>
      <c r="F1650" s="439"/>
    </row>
    <row r="1651" spans="1:6" ht="15.75">
      <c r="A1651" s="712" t="s">
        <v>676</v>
      </c>
      <c r="B1651" s="713"/>
      <c r="C1651" s="713"/>
      <c r="D1651" s="713"/>
      <c r="E1651" s="713"/>
      <c r="F1651" s="714"/>
    </row>
    <row r="1652" spans="1:6">
      <c r="A1652" s="639" t="s">
        <v>363</v>
      </c>
      <c r="B1652" s="640"/>
      <c r="C1652" s="640"/>
      <c r="D1652" s="640"/>
      <c r="E1652" s="640"/>
      <c r="F1652" s="641"/>
    </row>
    <row r="1653" spans="1:6">
      <c r="A1653" s="9">
        <v>1</v>
      </c>
      <c r="B1653" s="282" t="s">
        <v>364</v>
      </c>
      <c r="C1653" s="452">
        <f>C1654+C1658+C1668</f>
        <v>656.5</v>
      </c>
      <c r="D1653" s="540"/>
      <c r="E1653" s="7"/>
      <c r="F1653" s="638" t="s">
        <v>365</v>
      </c>
    </row>
    <row r="1654" spans="1:6">
      <c r="A1654" s="545" t="s">
        <v>11</v>
      </c>
      <c r="B1654" s="140" t="s">
        <v>12</v>
      </c>
      <c r="C1654" s="546">
        <f>SUM(C1655:C1657)</f>
        <v>102</v>
      </c>
      <c r="D1654" s="133" t="s">
        <v>72</v>
      </c>
      <c r="E1654" s="142" t="s">
        <v>9</v>
      </c>
      <c r="F1654" s="633"/>
    </row>
    <row r="1655" spans="1:6">
      <c r="A1655" s="545"/>
      <c r="B1655" s="537" t="s">
        <v>14</v>
      </c>
      <c r="C1655" s="544">
        <v>15.9</v>
      </c>
      <c r="D1655" s="543" t="s">
        <v>15</v>
      </c>
      <c r="E1655" s="32" t="s">
        <v>18</v>
      </c>
      <c r="F1655" s="633"/>
    </row>
    <row r="1656" spans="1:6">
      <c r="A1656" s="545"/>
      <c r="B1656" s="537" t="s">
        <v>47</v>
      </c>
      <c r="C1656" s="544">
        <v>23.8</v>
      </c>
      <c r="D1656" s="543" t="s">
        <v>15</v>
      </c>
      <c r="E1656" s="32" t="s">
        <v>18</v>
      </c>
      <c r="F1656" s="633"/>
    </row>
    <row r="1657" spans="1:6">
      <c r="A1657" s="545"/>
      <c r="B1657" s="537" t="s">
        <v>36</v>
      </c>
      <c r="C1657" s="544">
        <v>62.3</v>
      </c>
      <c r="D1657" s="543" t="s">
        <v>15</v>
      </c>
      <c r="E1657" s="32" t="s">
        <v>18</v>
      </c>
      <c r="F1657" s="633"/>
    </row>
    <row r="1658" spans="1:6">
      <c r="A1658" s="545" t="s">
        <v>29</v>
      </c>
      <c r="B1658" s="140" t="s">
        <v>30</v>
      </c>
      <c r="C1658" s="546">
        <f>SUM(C1659:C1667)</f>
        <v>293.29999999999995</v>
      </c>
      <c r="D1658" s="133" t="s">
        <v>72</v>
      </c>
      <c r="E1658" s="142" t="s">
        <v>9</v>
      </c>
      <c r="F1658" s="633"/>
    </row>
    <row r="1659" spans="1:6">
      <c r="A1659" s="545"/>
      <c r="B1659" s="537" t="s">
        <v>17</v>
      </c>
      <c r="C1659" s="544">
        <v>146.1</v>
      </c>
      <c r="D1659" s="543" t="s">
        <v>15</v>
      </c>
      <c r="E1659" s="32" t="s">
        <v>18</v>
      </c>
      <c r="F1659" s="633"/>
    </row>
    <row r="1660" spans="1:6">
      <c r="A1660" s="545"/>
      <c r="B1660" s="537" t="s">
        <v>14</v>
      </c>
      <c r="C1660" s="544">
        <v>35.799999999999997</v>
      </c>
      <c r="D1660" s="543" t="s">
        <v>15</v>
      </c>
      <c r="E1660" s="32" t="s">
        <v>18</v>
      </c>
      <c r="F1660" s="633"/>
    </row>
    <row r="1661" spans="1:6">
      <c r="A1661" s="545"/>
      <c r="B1661" s="537" t="s">
        <v>47</v>
      </c>
      <c r="C1661" s="544">
        <v>17.600000000000001</v>
      </c>
      <c r="D1661" s="543" t="s">
        <v>20</v>
      </c>
      <c r="E1661" s="32" t="s">
        <v>18</v>
      </c>
      <c r="F1661" s="633"/>
    </row>
    <row r="1662" spans="1:6">
      <c r="A1662" s="545"/>
      <c r="B1662" s="537" t="s">
        <v>36</v>
      </c>
      <c r="C1662" s="544">
        <v>17.5</v>
      </c>
      <c r="D1662" s="543" t="s">
        <v>15</v>
      </c>
      <c r="E1662" s="32" t="s">
        <v>18</v>
      </c>
      <c r="F1662" s="633"/>
    </row>
    <row r="1663" spans="1:6">
      <c r="A1663" s="545"/>
      <c r="B1663" s="537" t="s">
        <v>21</v>
      </c>
      <c r="C1663" s="544">
        <v>9.1999999999999993</v>
      </c>
      <c r="D1663" s="543" t="s">
        <v>22</v>
      </c>
      <c r="E1663" s="32" t="s">
        <v>18</v>
      </c>
      <c r="F1663" s="633"/>
    </row>
    <row r="1664" spans="1:6">
      <c r="A1664" s="545"/>
      <c r="B1664" s="537"/>
      <c r="C1664" s="544"/>
      <c r="D1664" s="543" t="s">
        <v>67</v>
      </c>
      <c r="E1664" s="32" t="s">
        <v>68</v>
      </c>
      <c r="F1664" s="633"/>
    </row>
    <row r="1665" spans="1:6">
      <c r="A1665" s="545"/>
      <c r="B1665" s="537" t="s">
        <v>75</v>
      </c>
      <c r="C1665" s="544">
        <v>47.1</v>
      </c>
      <c r="D1665" s="543" t="s">
        <v>15</v>
      </c>
      <c r="E1665" s="32" t="s">
        <v>366</v>
      </c>
      <c r="F1665" s="633"/>
    </row>
    <row r="1666" spans="1:6">
      <c r="A1666" s="545"/>
      <c r="B1666" s="537" t="s">
        <v>19</v>
      </c>
      <c r="C1666" s="544">
        <v>9.1999999999999993</v>
      </c>
      <c r="D1666" s="543" t="s">
        <v>15</v>
      </c>
      <c r="E1666" s="32" t="s">
        <v>367</v>
      </c>
      <c r="F1666" s="633"/>
    </row>
    <row r="1667" spans="1:6">
      <c r="A1667" s="545"/>
      <c r="B1667" s="537" t="s">
        <v>62</v>
      </c>
      <c r="C1667" s="544">
        <v>10.8</v>
      </c>
      <c r="D1667" s="543" t="s">
        <v>15</v>
      </c>
      <c r="E1667" s="32" t="s">
        <v>367</v>
      </c>
      <c r="F1667" s="633"/>
    </row>
    <row r="1668" spans="1:6">
      <c r="A1668" s="545"/>
      <c r="B1668" s="140" t="s">
        <v>102</v>
      </c>
      <c r="C1668" s="25">
        <f>SUM(C1669:C1677)</f>
        <v>261.2</v>
      </c>
      <c r="D1668" s="133" t="s">
        <v>72</v>
      </c>
      <c r="E1668" s="142" t="s">
        <v>9</v>
      </c>
      <c r="F1668" s="732"/>
    </row>
    <row r="1669" spans="1:6">
      <c r="A1669" s="545" t="s">
        <v>37</v>
      </c>
      <c r="B1669" s="537" t="s">
        <v>96</v>
      </c>
      <c r="C1669" s="544">
        <v>52.8</v>
      </c>
      <c r="D1669" s="543" t="s">
        <v>15</v>
      </c>
      <c r="E1669" s="32" t="s">
        <v>18</v>
      </c>
      <c r="F1669" s="732"/>
    </row>
    <row r="1670" spans="1:6">
      <c r="A1670" s="545"/>
      <c r="B1670" s="537" t="s">
        <v>36</v>
      </c>
      <c r="C1670" s="544">
        <v>57.6</v>
      </c>
      <c r="D1670" s="543" t="s">
        <v>15</v>
      </c>
      <c r="E1670" s="32" t="s">
        <v>368</v>
      </c>
      <c r="F1670" s="732"/>
    </row>
    <row r="1671" spans="1:6">
      <c r="A1671" s="545"/>
      <c r="B1671" s="537" t="s">
        <v>39</v>
      </c>
      <c r="C1671" s="544">
        <v>63.4</v>
      </c>
      <c r="D1671" s="543" t="s">
        <v>15</v>
      </c>
      <c r="E1671" s="32" t="s">
        <v>18</v>
      </c>
      <c r="F1671" s="732"/>
    </row>
    <row r="1672" spans="1:6">
      <c r="A1672" s="545"/>
      <c r="B1672" s="537" t="s">
        <v>21</v>
      </c>
      <c r="C1672" s="544">
        <v>8.6</v>
      </c>
      <c r="D1672" s="543" t="s">
        <v>22</v>
      </c>
      <c r="E1672" s="32" t="s">
        <v>18</v>
      </c>
      <c r="F1672" s="732"/>
    </row>
    <row r="1673" spans="1:6">
      <c r="A1673" s="545"/>
      <c r="B1673" s="537"/>
      <c r="C1673" s="544"/>
      <c r="D1673" s="543" t="s">
        <v>67</v>
      </c>
      <c r="E1673" s="32" t="s">
        <v>68</v>
      </c>
      <c r="F1673" s="732"/>
    </row>
    <row r="1674" spans="1:6">
      <c r="A1674" s="545"/>
      <c r="B1674" s="537" t="s">
        <v>17</v>
      </c>
      <c r="C1674" s="544">
        <v>33.200000000000003</v>
      </c>
      <c r="D1674" s="543" t="s">
        <v>15</v>
      </c>
      <c r="E1674" s="32" t="s">
        <v>18</v>
      </c>
      <c r="F1674" s="732"/>
    </row>
    <row r="1675" spans="1:6">
      <c r="A1675" s="545"/>
      <c r="B1675" s="537" t="s">
        <v>47</v>
      </c>
      <c r="C1675" s="544">
        <v>35.200000000000003</v>
      </c>
      <c r="D1675" s="543" t="s">
        <v>20</v>
      </c>
      <c r="E1675" s="32" t="s">
        <v>18</v>
      </c>
      <c r="F1675" s="732"/>
    </row>
    <row r="1676" spans="1:6">
      <c r="A1676" s="545"/>
      <c r="B1676" s="537" t="s">
        <v>19</v>
      </c>
      <c r="C1676" s="544">
        <v>10.4</v>
      </c>
      <c r="D1676" s="543" t="s">
        <v>15</v>
      </c>
      <c r="E1676" s="32" t="s">
        <v>18</v>
      </c>
      <c r="F1676" s="732"/>
    </row>
    <row r="1677" spans="1:6">
      <c r="A1677" s="13"/>
      <c r="B1677" s="158"/>
      <c r="C1677" s="126"/>
      <c r="D1677" s="42"/>
      <c r="E1677" s="91"/>
      <c r="F1677" s="733"/>
    </row>
    <row r="1678" spans="1:6">
      <c r="A1678" s="639" t="s">
        <v>369</v>
      </c>
      <c r="B1678" s="640"/>
      <c r="C1678" s="640"/>
      <c r="D1678" s="640"/>
      <c r="E1678" s="640"/>
      <c r="F1678" s="651"/>
    </row>
    <row r="1679" spans="1:6">
      <c r="A1679" s="128"/>
      <c r="B1679" s="138"/>
      <c r="C1679" s="452">
        <f>C1681+C1687+C1694+C1696+C1700</f>
        <v>1401.7</v>
      </c>
      <c r="D1679" s="138"/>
      <c r="E1679" s="129"/>
      <c r="F1679" s="138"/>
    </row>
    <row r="1680" spans="1:6">
      <c r="A1680" s="131">
        <v>1</v>
      </c>
      <c r="B1680" s="139" t="s">
        <v>370</v>
      </c>
      <c r="C1680" s="127">
        <f>C1681+C1687+C1694+C1696+C1700+C1703+C1711</f>
        <v>3106.5</v>
      </c>
      <c r="D1680" s="142"/>
      <c r="E1680" s="132"/>
      <c r="F1680" s="706" t="s">
        <v>371</v>
      </c>
    </row>
    <row r="1681" spans="1:6">
      <c r="A1681" s="131" t="s">
        <v>11</v>
      </c>
      <c r="B1681" s="140" t="s">
        <v>372</v>
      </c>
      <c r="C1681" s="134">
        <f>SUM(C1682:C1686)</f>
        <v>359.1</v>
      </c>
      <c r="D1681" s="133" t="s">
        <v>72</v>
      </c>
      <c r="E1681" s="142" t="s">
        <v>9</v>
      </c>
      <c r="F1681" s="742"/>
    </row>
    <row r="1682" spans="1:6">
      <c r="A1682" s="131"/>
      <c r="B1682" s="537" t="s">
        <v>17</v>
      </c>
      <c r="C1682" s="132">
        <v>184.8</v>
      </c>
      <c r="D1682" s="143" t="s">
        <v>15</v>
      </c>
      <c r="E1682" s="132" t="s">
        <v>88</v>
      </c>
      <c r="F1682" s="742"/>
    </row>
    <row r="1683" spans="1:6">
      <c r="A1683" s="131"/>
      <c r="B1683" s="537" t="s">
        <v>373</v>
      </c>
      <c r="C1683" s="132">
        <v>55.6</v>
      </c>
      <c r="D1683" s="143" t="s">
        <v>15</v>
      </c>
      <c r="E1683" s="132" t="s">
        <v>28</v>
      </c>
      <c r="F1683" s="742"/>
    </row>
    <row r="1684" spans="1:6">
      <c r="A1684" s="131"/>
      <c r="B1684" s="537" t="s">
        <v>14</v>
      </c>
      <c r="C1684" s="132">
        <v>36.4</v>
      </c>
      <c r="D1684" s="143" t="s">
        <v>15</v>
      </c>
      <c r="E1684" s="132" t="s">
        <v>18</v>
      </c>
      <c r="F1684" s="742"/>
    </row>
    <row r="1685" spans="1:6">
      <c r="A1685" s="131"/>
      <c r="B1685" s="537" t="s">
        <v>21</v>
      </c>
      <c r="C1685" s="132">
        <v>9</v>
      </c>
      <c r="D1685" s="143" t="s">
        <v>22</v>
      </c>
      <c r="E1685" s="132" t="s">
        <v>18</v>
      </c>
      <c r="F1685" s="742"/>
    </row>
    <row r="1686" spans="1:6">
      <c r="A1686" s="131"/>
      <c r="B1686" s="537" t="s">
        <v>36</v>
      </c>
      <c r="C1686" s="132">
        <v>73.3</v>
      </c>
      <c r="D1686" s="143" t="s">
        <v>15</v>
      </c>
      <c r="E1686" s="132" t="s">
        <v>28</v>
      </c>
      <c r="F1686" s="742"/>
    </row>
    <row r="1687" spans="1:6">
      <c r="A1687" s="131" t="s">
        <v>29</v>
      </c>
      <c r="B1687" s="140" t="s">
        <v>12</v>
      </c>
      <c r="C1687" s="134">
        <f>SUM(C1688:C1693)</f>
        <v>775.3</v>
      </c>
      <c r="D1687" s="133" t="s">
        <v>72</v>
      </c>
      <c r="E1687" s="142" t="s">
        <v>9</v>
      </c>
      <c r="F1687" s="742"/>
    </row>
    <row r="1688" spans="1:6">
      <c r="A1688" s="131"/>
      <c r="B1688" s="537" t="s">
        <v>17</v>
      </c>
      <c r="C1688" s="132">
        <v>342.7</v>
      </c>
      <c r="D1688" s="143" t="s">
        <v>15</v>
      </c>
      <c r="E1688" s="132" t="s">
        <v>88</v>
      </c>
      <c r="F1688" s="742"/>
    </row>
    <row r="1689" spans="1:6">
      <c r="A1689" s="131"/>
      <c r="B1689" s="537" t="s">
        <v>14</v>
      </c>
      <c r="C1689" s="132">
        <v>121.6</v>
      </c>
      <c r="D1689" s="143" t="s">
        <v>15</v>
      </c>
      <c r="E1689" s="132" t="s">
        <v>18</v>
      </c>
      <c r="F1689" s="742"/>
    </row>
    <row r="1690" spans="1:6">
      <c r="A1690" s="131"/>
      <c r="B1690" s="537" t="s">
        <v>47</v>
      </c>
      <c r="C1690" s="132">
        <v>26.6</v>
      </c>
      <c r="D1690" s="143" t="s">
        <v>15</v>
      </c>
      <c r="E1690" s="132" t="s">
        <v>18</v>
      </c>
      <c r="F1690" s="742"/>
    </row>
    <row r="1691" spans="1:6">
      <c r="A1691" s="131"/>
      <c r="B1691" s="537" t="s">
        <v>36</v>
      </c>
      <c r="C1691" s="132">
        <v>239.1</v>
      </c>
      <c r="D1691" s="143" t="s">
        <v>15</v>
      </c>
      <c r="E1691" s="132" t="s">
        <v>68</v>
      </c>
      <c r="F1691" s="742"/>
    </row>
    <row r="1692" spans="1:6">
      <c r="A1692" s="131"/>
      <c r="B1692" s="537" t="s">
        <v>21</v>
      </c>
      <c r="C1692" s="132">
        <v>19.899999999999999</v>
      </c>
      <c r="D1692" s="143" t="s">
        <v>22</v>
      </c>
      <c r="E1692" s="132" t="s">
        <v>18</v>
      </c>
      <c r="F1692" s="742"/>
    </row>
    <row r="1693" spans="1:6">
      <c r="A1693" s="131"/>
      <c r="B1693" s="537" t="s">
        <v>45</v>
      </c>
      <c r="C1693" s="132">
        <v>25.4</v>
      </c>
      <c r="D1693" s="143" t="s">
        <v>15</v>
      </c>
      <c r="E1693" s="132" t="s">
        <v>374</v>
      </c>
      <c r="F1693" s="742"/>
    </row>
    <row r="1694" spans="1:6">
      <c r="A1694" s="131" t="s">
        <v>37</v>
      </c>
      <c r="B1694" s="140" t="s">
        <v>375</v>
      </c>
      <c r="C1694" s="134">
        <f>C1695</f>
        <v>50.4</v>
      </c>
      <c r="D1694" s="143" t="s">
        <v>13</v>
      </c>
      <c r="E1694" s="132" t="s">
        <v>9</v>
      </c>
      <c r="F1694" s="742"/>
    </row>
    <row r="1695" spans="1:6">
      <c r="A1695" s="131"/>
      <c r="B1695" s="537" t="s">
        <v>47</v>
      </c>
      <c r="C1695" s="132">
        <v>50.4</v>
      </c>
      <c r="D1695" s="143" t="s">
        <v>15</v>
      </c>
      <c r="E1695" s="132" t="s">
        <v>88</v>
      </c>
      <c r="F1695" s="742"/>
    </row>
    <row r="1696" spans="1:6">
      <c r="A1696" s="131" t="s">
        <v>81</v>
      </c>
      <c r="B1696" s="140" t="s">
        <v>372</v>
      </c>
      <c r="C1696" s="134">
        <f>SUM(C1697:C1699)</f>
        <v>190.10000000000002</v>
      </c>
      <c r="D1696" s="143" t="s">
        <v>13</v>
      </c>
      <c r="E1696" s="132" t="s">
        <v>9</v>
      </c>
      <c r="F1696" s="742"/>
    </row>
    <row r="1697" spans="1:6">
      <c r="A1697" s="131"/>
      <c r="B1697" s="537" t="s">
        <v>17</v>
      </c>
      <c r="C1697" s="132">
        <v>40.4</v>
      </c>
      <c r="D1697" s="143" t="s">
        <v>15</v>
      </c>
      <c r="E1697" s="132" t="s">
        <v>88</v>
      </c>
      <c r="F1697" s="742"/>
    </row>
    <row r="1698" spans="1:6">
      <c r="A1698" s="131"/>
      <c r="B1698" s="537" t="s">
        <v>26</v>
      </c>
      <c r="C1698" s="132">
        <v>140.30000000000001</v>
      </c>
      <c r="D1698" s="143" t="s">
        <v>27</v>
      </c>
      <c r="E1698" s="132" t="s">
        <v>376</v>
      </c>
      <c r="F1698" s="742"/>
    </row>
    <row r="1699" spans="1:6">
      <c r="A1699" s="131"/>
      <c r="B1699" s="537" t="s">
        <v>14</v>
      </c>
      <c r="C1699" s="132">
        <v>9.4</v>
      </c>
      <c r="D1699" s="143" t="s">
        <v>15</v>
      </c>
      <c r="E1699" s="132" t="s">
        <v>18</v>
      </c>
      <c r="F1699" s="742"/>
    </row>
    <row r="1700" spans="1:6">
      <c r="A1700" s="131" t="s">
        <v>83</v>
      </c>
      <c r="B1700" s="140" t="s">
        <v>12</v>
      </c>
      <c r="C1700" s="134">
        <f>C1701</f>
        <v>26.8</v>
      </c>
      <c r="D1700" s="143" t="s">
        <v>13</v>
      </c>
      <c r="E1700" s="132" t="s">
        <v>9</v>
      </c>
      <c r="F1700" s="742"/>
    </row>
    <row r="1701" spans="1:6">
      <c r="A1701" s="131"/>
      <c r="B1701" s="537" t="s">
        <v>47</v>
      </c>
      <c r="C1701" s="132">
        <v>26.8</v>
      </c>
      <c r="D1701" s="143" t="s">
        <v>15</v>
      </c>
      <c r="E1701" s="132" t="s">
        <v>18</v>
      </c>
      <c r="F1701" s="742"/>
    </row>
    <row r="1702" spans="1:6">
      <c r="A1702" s="9"/>
      <c r="B1702" s="281"/>
      <c r="C1702" s="452">
        <f>C1703+C1711</f>
        <v>1704.8000000000002</v>
      </c>
      <c r="D1702" s="41"/>
      <c r="E1702" s="17"/>
      <c r="F1702" s="239"/>
    </row>
    <row r="1703" spans="1:6">
      <c r="A1703" s="545" t="s">
        <v>179</v>
      </c>
      <c r="B1703" s="140" t="s">
        <v>30</v>
      </c>
      <c r="C1703" s="25">
        <f>SUM(C1704:C1710)</f>
        <v>848.4</v>
      </c>
      <c r="D1703" s="133" t="s">
        <v>72</v>
      </c>
      <c r="E1703" s="142" t="s">
        <v>9</v>
      </c>
      <c r="F1703" s="635" t="s">
        <v>377</v>
      </c>
    </row>
    <row r="1704" spans="1:6">
      <c r="A1704" s="545"/>
      <c r="B1704" s="145" t="s">
        <v>17</v>
      </c>
      <c r="C1704" s="544">
        <v>170.9</v>
      </c>
      <c r="D1704" s="543" t="s">
        <v>15</v>
      </c>
      <c r="E1704" s="600" t="s">
        <v>88</v>
      </c>
      <c r="F1704" s="743"/>
    </row>
    <row r="1705" spans="1:6">
      <c r="A1705" s="545"/>
      <c r="B1705" s="537" t="s">
        <v>40</v>
      </c>
      <c r="C1705" s="544">
        <v>34.200000000000003</v>
      </c>
      <c r="D1705" s="543" t="s">
        <v>15</v>
      </c>
      <c r="E1705" s="600" t="s">
        <v>376</v>
      </c>
      <c r="F1705" s="743"/>
    </row>
    <row r="1706" spans="1:6">
      <c r="A1706" s="545"/>
      <c r="B1706" s="537" t="s">
        <v>39</v>
      </c>
      <c r="C1706" s="544">
        <v>135.19999999999999</v>
      </c>
      <c r="D1706" s="543" t="s">
        <v>15</v>
      </c>
      <c r="E1706" s="600" t="s">
        <v>18</v>
      </c>
      <c r="F1706" s="743"/>
    </row>
    <row r="1707" spans="1:6">
      <c r="A1707" s="545"/>
      <c r="B1707" s="537" t="s">
        <v>21</v>
      </c>
      <c r="C1707" s="544">
        <v>10.4</v>
      </c>
      <c r="D1707" s="543" t="s">
        <v>22</v>
      </c>
      <c r="E1707" s="600" t="s">
        <v>18</v>
      </c>
      <c r="F1707" s="743"/>
    </row>
    <row r="1708" spans="1:6">
      <c r="A1708" s="545"/>
      <c r="B1708" s="537" t="s">
        <v>71</v>
      </c>
      <c r="C1708" s="544">
        <v>436</v>
      </c>
      <c r="D1708" s="543" t="s">
        <v>15</v>
      </c>
      <c r="E1708" s="600" t="s">
        <v>18</v>
      </c>
      <c r="F1708" s="743"/>
    </row>
    <row r="1709" spans="1:6">
      <c r="A1709" s="545"/>
      <c r="B1709" s="537" t="s">
        <v>47</v>
      </c>
      <c r="C1709" s="544">
        <v>26.8</v>
      </c>
      <c r="D1709" s="543" t="s">
        <v>15</v>
      </c>
      <c r="E1709" s="600" t="s">
        <v>18</v>
      </c>
      <c r="F1709" s="743"/>
    </row>
    <row r="1710" spans="1:6">
      <c r="A1710" s="545"/>
      <c r="B1710" s="537" t="s">
        <v>19</v>
      </c>
      <c r="C1710" s="544">
        <v>34.9</v>
      </c>
      <c r="D1710" s="543" t="s">
        <v>15</v>
      </c>
      <c r="E1710" s="600" t="s">
        <v>18</v>
      </c>
      <c r="F1710" s="743"/>
    </row>
    <row r="1711" spans="1:6">
      <c r="A1711" s="545" t="s">
        <v>378</v>
      </c>
      <c r="B1711" s="140" t="s">
        <v>38</v>
      </c>
      <c r="C1711" s="25">
        <f>SUM(C1712:C1720)</f>
        <v>856.40000000000009</v>
      </c>
      <c r="D1711" s="133" t="s">
        <v>72</v>
      </c>
      <c r="E1711" s="142" t="s">
        <v>9</v>
      </c>
      <c r="F1711" s="743"/>
    </row>
    <row r="1712" spans="1:6">
      <c r="A1712" s="545"/>
      <c r="B1712" s="145" t="s">
        <v>17</v>
      </c>
      <c r="C1712" s="544">
        <v>59.8</v>
      </c>
      <c r="D1712" s="543" t="s">
        <v>15</v>
      </c>
      <c r="E1712" s="600" t="s">
        <v>88</v>
      </c>
      <c r="F1712" s="743"/>
    </row>
    <row r="1713" spans="1:6">
      <c r="A1713" s="545"/>
      <c r="B1713" s="537" t="s">
        <v>40</v>
      </c>
      <c r="C1713" s="544">
        <v>17.8</v>
      </c>
      <c r="D1713" s="543" t="s">
        <v>15</v>
      </c>
      <c r="E1713" s="600" t="s">
        <v>376</v>
      </c>
      <c r="F1713" s="743"/>
    </row>
    <row r="1714" spans="1:6">
      <c r="A1714" s="545"/>
      <c r="B1714" s="537" t="s">
        <v>39</v>
      </c>
      <c r="C1714" s="544">
        <v>82.7</v>
      </c>
      <c r="D1714" s="543" t="s">
        <v>15</v>
      </c>
      <c r="E1714" s="600" t="s">
        <v>18</v>
      </c>
      <c r="F1714" s="743"/>
    </row>
    <row r="1715" spans="1:6">
      <c r="A1715" s="545"/>
      <c r="B1715" s="537" t="s">
        <v>21</v>
      </c>
      <c r="C1715" s="544">
        <v>5</v>
      </c>
      <c r="D1715" s="543" t="s">
        <v>22</v>
      </c>
      <c r="E1715" s="600" t="s">
        <v>18</v>
      </c>
      <c r="F1715" s="743"/>
    </row>
    <row r="1716" spans="1:6">
      <c r="A1716" s="545"/>
      <c r="B1716" s="537" t="s">
        <v>71</v>
      </c>
      <c r="C1716" s="544">
        <v>550.4</v>
      </c>
      <c r="D1716" s="543" t="s">
        <v>15</v>
      </c>
      <c r="E1716" s="600" t="s">
        <v>18</v>
      </c>
      <c r="F1716" s="743"/>
    </row>
    <row r="1717" spans="1:6">
      <c r="A1717" s="545"/>
      <c r="B1717" s="537" t="s">
        <v>47</v>
      </c>
      <c r="C1717" s="544">
        <v>22.1</v>
      </c>
      <c r="D1717" s="543" t="s">
        <v>15</v>
      </c>
      <c r="E1717" s="600" t="s">
        <v>18</v>
      </c>
      <c r="F1717" s="743"/>
    </row>
    <row r="1718" spans="1:6">
      <c r="A1718" s="545"/>
      <c r="B1718" s="537" t="s">
        <v>45</v>
      </c>
      <c r="C1718" s="544">
        <v>32.799999999999997</v>
      </c>
      <c r="D1718" s="543" t="s">
        <v>15</v>
      </c>
      <c r="E1718" s="600" t="s">
        <v>374</v>
      </c>
      <c r="F1718" s="743"/>
    </row>
    <row r="1719" spans="1:6">
      <c r="A1719" s="545"/>
      <c r="B1719" s="537" t="s">
        <v>51</v>
      </c>
      <c r="C1719" s="544">
        <v>36.700000000000003</v>
      </c>
      <c r="D1719" s="543" t="s">
        <v>15</v>
      </c>
      <c r="E1719" s="600" t="s">
        <v>374</v>
      </c>
      <c r="F1719" s="743"/>
    </row>
    <row r="1720" spans="1:6">
      <c r="A1720" s="545"/>
      <c r="B1720" s="537" t="s">
        <v>130</v>
      </c>
      <c r="C1720" s="544">
        <v>49.1</v>
      </c>
      <c r="D1720" s="543" t="s">
        <v>15</v>
      </c>
      <c r="E1720" s="600" t="s">
        <v>64</v>
      </c>
      <c r="F1720" s="743"/>
    </row>
    <row r="1721" spans="1:6">
      <c r="A1721" s="9">
        <v>2</v>
      </c>
      <c r="B1721" s="282" t="s">
        <v>379</v>
      </c>
      <c r="C1721" s="452">
        <f>C1722+C1726+C1730</f>
        <v>752.9</v>
      </c>
      <c r="D1721" s="540"/>
      <c r="E1721" s="17"/>
      <c r="F1721" s="634" t="s">
        <v>380</v>
      </c>
    </row>
    <row r="1722" spans="1:6">
      <c r="A1722" s="545" t="s">
        <v>11</v>
      </c>
      <c r="B1722" s="140" t="s">
        <v>381</v>
      </c>
      <c r="C1722" s="546">
        <f>SUM(C1723:C1725)</f>
        <v>124.60000000000001</v>
      </c>
      <c r="D1722" s="543" t="s">
        <v>13</v>
      </c>
      <c r="E1722" s="600" t="s">
        <v>9</v>
      </c>
      <c r="F1722" s="635"/>
    </row>
    <row r="1723" spans="1:6">
      <c r="A1723" s="545"/>
      <c r="B1723" s="537" t="s">
        <v>14</v>
      </c>
      <c r="C1723" s="544">
        <v>29.3</v>
      </c>
      <c r="D1723" s="543" t="s">
        <v>15</v>
      </c>
      <c r="E1723" s="600" t="s">
        <v>28</v>
      </c>
      <c r="F1723" s="635"/>
    </row>
    <row r="1724" spans="1:6">
      <c r="A1724" s="545"/>
      <c r="B1724" s="537" t="s">
        <v>47</v>
      </c>
      <c r="C1724" s="544">
        <v>19.399999999999999</v>
      </c>
      <c r="D1724" s="543" t="s">
        <v>15</v>
      </c>
      <c r="E1724" s="600" t="s">
        <v>28</v>
      </c>
      <c r="F1724" s="635"/>
    </row>
    <row r="1725" spans="1:6">
      <c r="A1725" s="545"/>
      <c r="B1725" s="537" t="s">
        <v>36</v>
      </c>
      <c r="C1725" s="544">
        <v>75.900000000000006</v>
      </c>
      <c r="D1725" s="543" t="s">
        <v>15</v>
      </c>
      <c r="E1725" s="600" t="s">
        <v>28</v>
      </c>
      <c r="F1725" s="635"/>
    </row>
    <row r="1726" spans="1:6">
      <c r="A1726" s="545" t="s">
        <v>29</v>
      </c>
      <c r="B1726" s="140" t="s">
        <v>12</v>
      </c>
      <c r="C1726" s="546">
        <f>SUM(C1727:C1729)</f>
        <v>179.3</v>
      </c>
      <c r="D1726" s="133" t="s">
        <v>72</v>
      </c>
      <c r="E1726" s="142" t="s">
        <v>9</v>
      </c>
      <c r="F1726" s="635"/>
    </row>
    <row r="1727" spans="1:6">
      <c r="A1727" s="545"/>
      <c r="B1727" s="537" t="s">
        <v>17</v>
      </c>
      <c r="C1727" s="544">
        <v>101.1</v>
      </c>
      <c r="D1727" s="543" t="s">
        <v>15</v>
      </c>
      <c r="E1727" s="600" t="s">
        <v>88</v>
      </c>
      <c r="F1727" s="635"/>
    </row>
    <row r="1728" spans="1:6">
      <c r="A1728" s="545"/>
      <c r="B1728" s="537" t="s">
        <v>14</v>
      </c>
      <c r="C1728" s="544">
        <v>63.2</v>
      </c>
      <c r="D1728" s="543" t="s">
        <v>15</v>
      </c>
      <c r="E1728" s="600" t="s">
        <v>18</v>
      </c>
      <c r="F1728" s="635"/>
    </row>
    <row r="1729" spans="1:6">
      <c r="A1729" s="545"/>
      <c r="B1729" s="537" t="s">
        <v>47</v>
      </c>
      <c r="C1729" s="544">
        <v>15</v>
      </c>
      <c r="D1729" s="543" t="s">
        <v>15</v>
      </c>
      <c r="E1729" s="600" t="s">
        <v>18</v>
      </c>
      <c r="F1729" s="635"/>
    </row>
    <row r="1730" spans="1:6">
      <c r="A1730" s="545" t="s">
        <v>37</v>
      </c>
      <c r="B1730" s="140" t="s">
        <v>30</v>
      </c>
      <c r="C1730" s="25">
        <f>SUM(C1731:C1739)</f>
        <v>448.99999999999994</v>
      </c>
      <c r="D1730" s="133" t="s">
        <v>72</v>
      </c>
      <c r="E1730" s="142" t="s">
        <v>9</v>
      </c>
      <c r="F1730" s="738"/>
    </row>
    <row r="1731" spans="1:6">
      <c r="A1731" s="545"/>
      <c r="B1731" s="145" t="s">
        <v>17</v>
      </c>
      <c r="C1731" s="544">
        <v>243.1</v>
      </c>
      <c r="D1731" s="543" t="s">
        <v>15</v>
      </c>
      <c r="E1731" s="600" t="s">
        <v>88</v>
      </c>
      <c r="F1731" s="738"/>
    </row>
    <row r="1732" spans="1:6">
      <c r="A1732" s="545"/>
      <c r="B1732" s="537" t="s">
        <v>45</v>
      </c>
      <c r="C1732" s="544">
        <v>14.1</v>
      </c>
      <c r="D1732" s="543" t="s">
        <v>15</v>
      </c>
      <c r="E1732" s="600" t="s">
        <v>28</v>
      </c>
      <c r="F1732" s="738"/>
    </row>
    <row r="1733" spans="1:6">
      <c r="A1733" s="545"/>
      <c r="B1733" s="537" t="s">
        <v>39</v>
      </c>
      <c r="C1733" s="544">
        <v>66.2</v>
      </c>
      <c r="D1733" s="543" t="s">
        <v>15</v>
      </c>
      <c r="E1733" s="600" t="s">
        <v>18</v>
      </c>
      <c r="F1733" s="738"/>
    </row>
    <row r="1734" spans="1:6">
      <c r="A1734" s="545"/>
      <c r="B1734" s="537" t="s">
        <v>21</v>
      </c>
      <c r="C1734" s="544">
        <v>4.3</v>
      </c>
      <c r="D1734" s="543" t="s">
        <v>22</v>
      </c>
      <c r="E1734" s="600" t="s">
        <v>18</v>
      </c>
      <c r="F1734" s="738"/>
    </row>
    <row r="1735" spans="1:6">
      <c r="A1735" s="545"/>
      <c r="B1735" s="537" t="s">
        <v>71</v>
      </c>
      <c r="C1735" s="544">
        <v>98.1</v>
      </c>
      <c r="D1735" s="543" t="s">
        <v>15</v>
      </c>
      <c r="E1735" s="600" t="s">
        <v>88</v>
      </c>
      <c r="F1735" s="738"/>
    </row>
    <row r="1736" spans="1:6">
      <c r="A1736" s="545"/>
      <c r="B1736" s="537" t="s">
        <v>47</v>
      </c>
      <c r="C1736" s="544">
        <v>21.5</v>
      </c>
      <c r="D1736" s="543" t="s">
        <v>15</v>
      </c>
      <c r="E1736" s="600" t="s">
        <v>18</v>
      </c>
      <c r="F1736" s="738"/>
    </row>
    <row r="1737" spans="1:6">
      <c r="A1737" s="545"/>
      <c r="B1737" s="537" t="s">
        <v>45</v>
      </c>
      <c r="C1737" s="544"/>
      <c r="D1737" s="543" t="s">
        <v>15</v>
      </c>
      <c r="E1737" s="600" t="s">
        <v>28</v>
      </c>
      <c r="F1737" s="738"/>
    </row>
    <row r="1738" spans="1:6">
      <c r="A1738" s="545"/>
      <c r="B1738" s="537" t="s">
        <v>174</v>
      </c>
      <c r="C1738" s="544">
        <v>1.7</v>
      </c>
      <c r="D1738" s="543" t="s">
        <v>15</v>
      </c>
      <c r="E1738" s="600" t="s">
        <v>28</v>
      </c>
      <c r="F1738" s="738"/>
    </row>
    <row r="1739" spans="1:6">
      <c r="A1739" s="13"/>
      <c r="B1739" s="141" t="s">
        <v>130</v>
      </c>
      <c r="C1739" s="22"/>
      <c r="D1739" s="42" t="s">
        <v>15</v>
      </c>
      <c r="E1739" s="22" t="s">
        <v>88</v>
      </c>
      <c r="F1739" s="744"/>
    </row>
    <row r="1740" spans="1:6" ht="14.25">
      <c r="A1740" s="545"/>
      <c r="B1740" s="289"/>
      <c r="C1740" s="575">
        <f>C1679+C1702+C1721</f>
        <v>3859.4</v>
      </c>
      <c r="D1740" s="19"/>
      <c r="E1740" s="600"/>
      <c r="F1740" s="526"/>
    </row>
    <row r="1741" spans="1:6">
      <c r="A1741" s="639" t="s">
        <v>382</v>
      </c>
      <c r="B1741" s="640"/>
      <c r="C1741" s="640"/>
      <c r="D1741" s="640"/>
      <c r="E1741" s="640"/>
      <c r="F1741" s="641"/>
    </row>
    <row r="1742" spans="1:6">
      <c r="A1742" s="128"/>
      <c r="B1742" s="138"/>
      <c r="C1742" s="452">
        <f>C1744+C1751+C1761</f>
        <v>1297.5</v>
      </c>
      <c r="D1742" s="138"/>
      <c r="E1742" s="130"/>
      <c r="F1742" s="130"/>
    </row>
    <row r="1743" spans="1:6">
      <c r="A1743" s="131">
        <v>1</v>
      </c>
      <c r="B1743" s="139" t="s">
        <v>383</v>
      </c>
      <c r="C1743" s="127"/>
      <c r="D1743" s="142"/>
      <c r="E1743" s="471"/>
      <c r="F1743" s="709" t="s">
        <v>384</v>
      </c>
    </row>
    <row r="1744" spans="1:6">
      <c r="A1744" s="131" t="s">
        <v>11</v>
      </c>
      <c r="B1744" s="140" t="s">
        <v>12</v>
      </c>
      <c r="C1744" s="127">
        <f>SUM(C1745:C1750)</f>
        <v>445</v>
      </c>
      <c r="D1744" s="133" t="s">
        <v>72</v>
      </c>
      <c r="E1744" s="142" t="s">
        <v>9</v>
      </c>
      <c r="F1744" s="709"/>
    </row>
    <row r="1745" spans="1:6">
      <c r="A1745" s="131"/>
      <c r="B1745" s="537" t="s">
        <v>71</v>
      </c>
      <c r="C1745" s="132">
        <v>140.6</v>
      </c>
      <c r="D1745" s="143" t="s">
        <v>15</v>
      </c>
      <c r="E1745" s="471" t="s">
        <v>18</v>
      </c>
      <c r="F1745" s="709"/>
    </row>
    <row r="1746" spans="1:6">
      <c r="A1746" s="131"/>
      <c r="B1746" s="537" t="s">
        <v>39</v>
      </c>
      <c r="C1746" s="132">
        <v>110.5</v>
      </c>
      <c r="D1746" s="143" t="s">
        <v>15</v>
      </c>
      <c r="E1746" s="471" t="s">
        <v>18</v>
      </c>
      <c r="F1746" s="709"/>
    </row>
    <row r="1747" spans="1:6">
      <c r="A1747" s="131"/>
      <c r="B1747" s="537" t="s">
        <v>47</v>
      </c>
      <c r="C1747" s="132">
        <v>32.9</v>
      </c>
      <c r="D1747" s="143" t="s">
        <v>20</v>
      </c>
      <c r="E1747" s="471" t="s">
        <v>18</v>
      </c>
      <c r="F1747" s="709"/>
    </row>
    <row r="1748" spans="1:6">
      <c r="A1748" s="131"/>
      <c r="B1748" s="145" t="s">
        <v>153</v>
      </c>
      <c r="C1748" s="132">
        <v>59</v>
      </c>
      <c r="D1748" s="143" t="s">
        <v>15</v>
      </c>
      <c r="E1748" s="471" t="s">
        <v>42</v>
      </c>
      <c r="F1748" s="709"/>
    </row>
    <row r="1749" spans="1:6">
      <c r="A1749" s="131"/>
      <c r="B1749" s="537" t="s">
        <v>45</v>
      </c>
      <c r="C1749" s="132">
        <v>30.8</v>
      </c>
      <c r="D1749" s="143" t="s">
        <v>15</v>
      </c>
      <c r="E1749" s="471" t="s">
        <v>150</v>
      </c>
      <c r="F1749" s="709"/>
    </row>
    <row r="1750" spans="1:6">
      <c r="A1750" s="131"/>
      <c r="B1750" s="537" t="s">
        <v>36</v>
      </c>
      <c r="C1750" s="132">
        <v>71.2</v>
      </c>
      <c r="D1750" s="143" t="s">
        <v>15</v>
      </c>
      <c r="E1750" s="471" t="s">
        <v>150</v>
      </c>
      <c r="F1750" s="709"/>
    </row>
    <row r="1751" spans="1:6">
      <c r="A1751" s="131" t="s">
        <v>29</v>
      </c>
      <c r="B1751" s="140" t="s">
        <v>38</v>
      </c>
      <c r="C1751" s="127">
        <f>SUM(C1752:C1760)</f>
        <v>319.8</v>
      </c>
      <c r="D1751" s="133" t="s">
        <v>72</v>
      </c>
      <c r="E1751" s="142" t="s">
        <v>9</v>
      </c>
      <c r="F1751" s="709"/>
    </row>
    <row r="1752" spans="1:6">
      <c r="A1752" s="131"/>
      <c r="B1752" s="537" t="s">
        <v>215</v>
      </c>
      <c r="C1752" s="132">
        <v>20.100000000000001</v>
      </c>
      <c r="D1752" s="143" t="s">
        <v>15</v>
      </c>
      <c r="E1752" s="471" t="s">
        <v>18</v>
      </c>
      <c r="F1752" s="709"/>
    </row>
    <row r="1753" spans="1:6">
      <c r="A1753" s="131"/>
      <c r="B1753" s="537" t="s">
        <v>45</v>
      </c>
      <c r="C1753" s="132">
        <v>115.9</v>
      </c>
      <c r="D1753" s="143" t="s">
        <v>148</v>
      </c>
      <c r="E1753" s="471" t="s">
        <v>150</v>
      </c>
      <c r="F1753" s="709"/>
    </row>
    <row r="1754" spans="1:6">
      <c r="A1754" s="131"/>
      <c r="B1754" s="537" t="s">
        <v>39</v>
      </c>
      <c r="C1754" s="132">
        <v>24.5</v>
      </c>
      <c r="D1754" s="143" t="s">
        <v>15</v>
      </c>
      <c r="E1754" s="471" t="s">
        <v>18</v>
      </c>
      <c r="F1754" s="709"/>
    </row>
    <row r="1755" spans="1:6">
      <c r="A1755" s="131"/>
      <c r="B1755" s="537" t="s">
        <v>47</v>
      </c>
      <c r="C1755" s="132">
        <v>12.4</v>
      </c>
      <c r="D1755" s="143" t="s">
        <v>20</v>
      </c>
      <c r="E1755" s="471" t="s">
        <v>18</v>
      </c>
      <c r="F1755" s="709"/>
    </row>
    <row r="1756" spans="1:6">
      <c r="A1756" s="131"/>
      <c r="B1756" s="537" t="s">
        <v>36</v>
      </c>
      <c r="C1756" s="132">
        <v>67.7</v>
      </c>
      <c r="D1756" s="143" t="s">
        <v>15</v>
      </c>
      <c r="E1756" s="471" t="s">
        <v>42</v>
      </c>
      <c r="F1756" s="709"/>
    </row>
    <row r="1757" spans="1:6">
      <c r="A1757" s="131"/>
      <c r="B1757" s="537" t="s">
        <v>21</v>
      </c>
      <c r="C1757" s="132">
        <v>4.4000000000000004</v>
      </c>
      <c r="D1757" s="143" t="s">
        <v>22</v>
      </c>
      <c r="E1757" s="471" t="s">
        <v>18</v>
      </c>
      <c r="F1757" s="709"/>
    </row>
    <row r="1758" spans="1:6">
      <c r="A1758" s="131"/>
      <c r="B1758" s="537"/>
      <c r="C1758" s="132"/>
      <c r="D1758" s="143" t="s">
        <v>67</v>
      </c>
      <c r="E1758" s="471" t="s">
        <v>68</v>
      </c>
      <c r="F1758" s="709"/>
    </row>
    <row r="1759" spans="1:6">
      <c r="A1759" s="131"/>
      <c r="B1759" s="537" t="s">
        <v>71</v>
      </c>
      <c r="C1759" s="132">
        <v>31.6</v>
      </c>
      <c r="D1759" s="143" t="s">
        <v>15</v>
      </c>
      <c r="E1759" s="471" t="s">
        <v>18</v>
      </c>
      <c r="F1759" s="709"/>
    </row>
    <row r="1760" spans="1:6">
      <c r="A1760" s="131"/>
      <c r="B1760" s="537" t="s">
        <v>130</v>
      </c>
      <c r="C1760" s="132">
        <v>43.2</v>
      </c>
      <c r="D1760" s="143" t="s">
        <v>15</v>
      </c>
      <c r="E1760" s="471" t="s">
        <v>150</v>
      </c>
      <c r="F1760" s="709"/>
    </row>
    <row r="1761" spans="1:6">
      <c r="A1761" s="545"/>
      <c r="B1761" s="140"/>
      <c r="C1761" s="25">
        <f>C1762+C1771</f>
        <v>532.70000000000005</v>
      </c>
      <c r="D1761" s="543"/>
      <c r="E1761" s="32"/>
      <c r="F1761" s="709"/>
    </row>
    <row r="1762" spans="1:6">
      <c r="A1762" s="545" t="s">
        <v>37</v>
      </c>
      <c r="B1762" s="140" t="s">
        <v>30</v>
      </c>
      <c r="C1762" s="25">
        <f>SUM(C1763:C1770)</f>
        <v>385.5</v>
      </c>
      <c r="D1762" s="133" t="s">
        <v>72</v>
      </c>
      <c r="E1762" s="142" t="s">
        <v>9</v>
      </c>
      <c r="F1762" s="709"/>
    </row>
    <row r="1763" spans="1:6">
      <c r="A1763" s="545"/>
      <c r="B1763" s="537" t="s">
        <v>17</v>
      </c>
      <c r="C1763" s="544">
        <v>178.5</v>
      </c>
      <c r="D1763" s="543" t="s">
        <v>15</v>
      </c>
      <c r="E1763" s="32" t="s">
        <v>18</v>
      </c>
      <c r="F1763" s="709"/>
    </row>
    <row r="1764" spans="1:6">
      <c r="A1764" s="545"/>
      <c r="B1764" s="537" t="s">
        <v>215</v>
      </c>
      <c r="C1764" s="544">
        <v>10.7</v>
      </c>
      <c r="D1764" s="543" t="s">
        <v>15</v>
      </c>
      <c r="E1764" s="32" t="s">
        <v>18</v>
      </c>
      <c r="F1764" s="709"/>
    </row>
    <row r="1765" spans="1:6">
      <c r="A1765" s="545"/>
      <c r="B1765" s="537" t="s">
        <v>39</v>
      </c>
      <c r="C1765" s="544">
        <v>63.4</v>
      </c>
      <c r="D1765" s="543" t="s">
        <v>15</v>
      </c>
      <c r="E1765" s="32" t="s">
        <v>18</v>
      </c>
      <c r="F1765" s="709"/>
    </row>
    <row r="1766" spans="1:6">
      <c r="A1766" s="545"/>
      <c r="B1766" s="537" t="s">
        <v>47</v>
      </c>
      <c r="C1766" s="544">
        <v>15.7</v>
      </c>
      <c r="D1766" s="543" t="s">
        <v>20</v>
      </c>
      <c r="E1766" s="32" t="s">
        <v>18</v>
      </c>
      <c r="F1766" s="709"/>
    </row>
    <row r="1767" spans="1:6">
      <c r="A1767" s="545"/>
      <c r="B1767" s="537" t="s">
        <v>21</v>
      </c>
      <c r="C1767" s="544">
        <v>4.4000000000000004</v>
      </c>
      <c r="D1767" s="543" t="s">
        <v>22</v>
      </c>
      <c r="E1767" s="32" t="s">
        <v>18</v>
      </c>
      <c r="F1767" s="709"/>
    </row>
    <row r="1768" spans="1:6">
      <c r="A1768" s="545"/>
      <c r="B1768" s="537"/>
      <c r="C1768" s="544"/>
      <c r="D1768" s="543" t="s">
        <v>67</v>
      </c>
      <c r="E1768" s="32" t="s">
        <v>68</v>
      </c>
      <c r="F1768" s="709"/>
    </row>
    <row r="1769" spans="1:6">
      <c r="A1769" s="545"/>
      <c r="B1769" s="145" t="s">
        <v>75</v>
      </c>
      <c r="C1769" s="544">
        <v>62.6</v>
      </c>
      <c r="D1769" s="543" t="s">
        <v>15</v>
      </c>
      <c r="E1769" s="32" t="s">
        <v>68</v>
      </c>
      <c r="F1769" s="709"/>
    </row>
    <row r="1770" spans="1:6">
      <c r="A1770" s="545"/>
      <c r="B1770" s="537" t="s">
        <v>36</v>
      </c>
      <c r="C1770" s="544">
        <v>50.2</v>
      </c>
      <c r="D1770" s="543" t="s">
        <v>15</v>
      </c>
      <c r="E1770" s="32" t="s">
        <v>150</v>
      </c>
      <c r="F1770" s="709"/>
    </row>
    <row r="1771" spans="1:6">
      <c r="A1771" s="545" t="s">
        <v>81</v>
      </c>
      <c r="B1771" s="140" t="s">
        <v>38</v>
      </c>
      <c r="C1771" s="25">
        <f>SUM(C1772:C1774)</f>
        <v>147.20000000000002</v>
      </c>
      <c r="D1771" s="133" t="s">
        <v>72</v>
      </c>
      <c r="E1771" s="142" t="s">
        <v>9</v>
      </c>
      <c r="F1771" s="709"/>
    </row>
    <row r="1772" spans="1:6">
      <c r="A1772" s="545"/>
      <c r="B1772" s="537" t="s">
        <v>71</v>
      </c>
      <c r="C1772" s="544">
        <f>93</f>
        <v>93</v>
      </c>
      <c r="D1772" s="543" t="s">
        <v>15</v>
      </c>
      <c r="E1772" s="32" t="s">
        <v>18</v>
      </c>
      <c r="F1772" s="709"/>
    </row>
    <row r="1773" spans="1:6">
      <c r="A1773" s="545"/>
      <c r="B1773" s="537" t="s">
        <v>39</v>
      </c>
      <c r="C1773" s="544">
        <v>41.9</v>
      </c>
      <c r="D1773" s="543" t="s">
        <v>15</v>
      </c>
      <c r="E1773" s="32" t="s">
        <v>18</v>
      </c>
      <c r="F1773" s="709"/>
    </row>
    <row r="1774" spans="1:6">
      <c r="A1774" s="13"/>
      <c r="B1774" s="141" t="s">
        <v>47</v>
      </c>
      <c r="C1774" s="22">
        <v>12.3</v>
      </c>
      <c r="D1774" s="42" t="s">
        <v>20</v>
      </c>
      <c r="E1774" s="91" t="s">
        <v>18</v>
      </c>
      <c r="F1774" s="725"/>
    </row>
    <row r="1775" spans="1:6">
      <c r="A1775" s="639" t="s">
        <v>385</v>
      </c>
      <c r="B1775" s="640"/>
      <c r="C1775" s="640"/>
      <c r="D1775" s="640"/>
      <c r="E1775" s="640"/>
      <c r="F1775" s="651"/>
    </row>
    <row r="1776" spans="1:6">
      <c r="A1776" s="128"/>
      <c r="B1776" s="138"/>
      <c r="C1776" s="451">
        <f>C1778+C1781</f>
        <v>339.00000000000006</v>
      </c>
      <c r="D1776" s="138"/>
      <c r="E1776" s="129"/>
      <c r="F1776" s="138"/>
    </row>
    <row r="1777" spans="1:6">
      <c r="A1777" s="131">
        <v>1</v>
      </c>
      <c r="B1777" s="139" t="s">
        <v>386</v>
      </c>
      <c r="C1777" s="146"/>
      <c r="D1777" s="142"/>
      <c r="E1777" s="132"/>
      <c r="F1777" s="706" t="s">
        <v>387</v>
      </c>
    </row>
    <row r="1778" spans="1:6">
      <c r="A1778" s="131" t="s">
        <v>11</v>
      </c>
      <c r="B1778" s="140" t="s">
        <v>12</v>
      </c>
      <c r="C1778" s="149">
        <f>SUM(C1779:C1780)</f>
        <v>101.9</v>
      </c>
      <c r="D1778" s="143" t="s">
        <v>72</v>
      </c>
      <c r="E1778" s="132" t="s">
        <v>9</v>
      </c>
      <c r="F1778" s="706"/>
    </row>
    <row r="1779" spans="1:6">
      <c r="A1779" s="131"/>
      <c r="B1779" s="537" t="s">
        <v>388</v>
      </c>
      <c r="C1779" s="142">
        <v>43.7</v>
      </c>
      <c r="D1779" s="143" t="s">
        <v>27</v>
      </c>
      <c r="E1779" s="132" t="s">
        <v>42</v>
      </c>
      <c r="F1779" s="706"/>
    </row>
    <row r="1780" spans="1:6">
      <c r="A1780" s="131"/>
      <c r="B1780" s="537" t="s">
        <v>389</v>
      </c>
      <c r="C1780" s="142">
        <v>58.2</v>
      </c>
      <c r="D1780" s="143" t="s">
        <v>15</v>
      </c>
      <c r="E1780" s="132" t="s">
        <v>18</v>
      </c>
      <c r="F1780" s="706"/>
    </row>
    <row r="1781" spans="1:6">
      <c r="A1781" s="131" t="s">
        <v>29</v>
      </c>
      <c r="B1781" s="140" t="s">
        <v>30</v>
      </c>
      <c r="C1781" s="149">
        <f>SUM(C1782:C1787)</f>
        <v>237.10000000000005</v>
      </c>
      <c r="D1781" s="143" t="s">
        <v>13</v>
      </c>
      <c r="E1781" s="132" t="s">
        <v>9</v>
      </c>
      <c r="F1781" s="706"/>
    </row>
    <row r="1782" spans="1:6">
      <c r="A1782" s="131"/>
      <c r="B1782" s="537" t="s">
        <v>17</v>
      </c>
      <c r="C1782" s="142">
        <v>154.80000000000001</v>
      </c>
      <c r="D1782" s="143" t="s">
        <v>15</v>
      </c>
      <c r="E1782" s="132" t="s">
        <v>18</v>
      </c>
      <c r="F1782" s="706"/>
    </row>
    <row r="1783" spans="1:6">
      <c r="A1783" s="131"/>
      <c r="B1783" s="537" t="s">
        <v>14</v>
      </c>
      <c r="C1783" s="142">
        <v>15.8</v>
      </c>
      <c r="D1783" s="143" t="s">
        <v>15</v>
      </c>
      <c r="E1783" s="132" t="s">
        <v>18</v>
      </c>
      <c r="F1783" s="706"/>
    </row>
    <row r="1784" spans="1:6">
      <c r="A1784" s="131"/>
      <c r="B1784" s="537" t="s">
        <v>47</v>
      </c>
      <c r="C1784" s="142">
        <v>28.8</v>
      </c>
      <c r="D1784" s="143" t="s">
        <v>20</v>
      </c>
      <c r="E1784" s="132" t="s">
        <v>18</v>
      </c>
      <c r="F1784" s="706"/>
    </row>
    <row r="1785" spans="1:6">
      <c r="A1785" s="131"/>
      <c r="B1785" s="537" t="s">
        <v>390</v>
      </c>
      <c r="C1785" s="142">
        <v>28.8</v>
      </c>
      <c r="D1785" s="143" t="s">
        <v>15</v>
      </c>
      <c r="E1785" s="132" t="s">
        <v>18</v>
      </c>
      <c r="F1785" s="706"/>
    </row>
    <row r="1786" spans="1:6">
      <c r="A1786" s="131"/>
      <c r="B1786" s="537" t="s">
        <v>21</v>
      </c>
      <c r="C1786" s="142">
        <v>8.9</v>
      </c>
      <c r="D1786" s="143" t="s">
        <v>22</v>
      </c>
      <c r="E1786" s="132" t="s">
        <v>18</v>
      </c>
      <c r="F1786" s="706"/>
    </row>
    <row r="1787" spans="1:6">
      <c r="A1787" s="135"/>
      <c r="B1787" s="141"/>
      <c r="C1787" s="147"/>
      <c r="D1787" s="144" t="s">
        <v>67</v>
      </c>
      <c r="E1787" s="136" t="s">
        <v>68</v>
      </c>
      <c r="F1787" s="707"/>
    </row>
    <row r="1788" spans="1:6">
      <c r="A1788" s="47"/>
      <c r="B1788" s="140"/>
      <c r="C1788" s="472">
        <f>C1789</f>
        <v>451.2</v>
      </c>
      <c r="D1788" s="543"/>
      <c r="E1788" s="32"/>
      <c r="F1788" s="523"/>
    </row>
    <row r="1789" spans="1:6">
      <c r="A1789" s="47" t="s">
        <v>37</v>
      </c>
      <c r="B1789" s="139" t="s">
        <v>38</v>
      </c>
      <c r="C1789" s="24">
        <f>C1790+C1791+C1792+C1793+C1794</f>
        <v>451.2</v>
      </c>
      <c r="D1789" s="15" t="s">
        <v>72</v>
      </c>
      <c r="E1789" s="603" t="s">
        <v>9</v>
      </c>
      <c r="F1789" s="633" t="s">
        <v>391</v>
      </c>
    </row>
    <row r="1790" spans="1:6">
      <c r="A1790" s="47"/>
      <c r="B1790" s="537" t="s">
        <v>36</v>
      </c>
      <c r="C1790" s="541">
        <v>146.9</v>
      </c>
      <c r="D1790" s="15" t="s">
        <v>15</v>
      </c>
      <c r="E1790" s="603" t="s">
        <v>18</v>
      </c>
      <c r="F1790" s="633"/>
    </row>
    <row r="1791" spans="1:6">
      <c r="A1791" s="47"/>
      <c r="B1791" s="537" t="s">
        <v>36</v>
      </c>
      <c r="C1791" s="541">
        <v>235.7</v>
      </c>
      <c r="D1791" s="15" t="s">
        <v>15</v>
      </c>
      <c r="E1791" s="603" t="s">
        <v>42</v>
      </c>
      <c r="F1791" s="633"/>
    </row>
    <row r="1792" spans="1:6">
      <c r="A1792" s="47"/>
      <c r="B1792" s="537" t="s">
        <v>39</v>
      </c>
      <c r="C1792" s="541">
        <v>43.4</v>
      </c>
      <c r="D1792" s="15" t="s">
        <v>15</v>
      </c>
      <c r="E1792" s="603" t="s">
        <v>18</v>
      </c>
      <c r="F1792" s="633"/>
    </row>
    <row r="1793" spans="1:6">
      <c r="A1793" s="47"/>
      <c r="B1793" s="537" t="s">
        <v>47</v>
      </c>
      <c r="C1793" s="541">
        <v>16</v>
      </c>
      <c r="D1793" s="15" t="s">
        <v>20</v>
      </c>
      <c r="E1793" s="603" t="s">
        <v>18</v>
      </c>
      <c r="F1793" s="633"/>
    </row>
    <row r="1794" spans="1:6">
      <c r="A1794" s="47"/>
      <c r="B1794" s="537" t="s">
        <v>21</v>
      </c>
      <c r="C1794" s="541">
        <v>9.1999999999999993</v>
      </c>
      <c r="D1794" s="15" t="s">
        <v>22</v>
      </c>
      <c r="E1794" s="603" t="s">
        <v>18</v>
      </c>
      <c r="F1794" s="633"/>
    </row>
    <row r="1795" spans="1:6">
      <c r="A1795" s="48"/>
      <c r="B1795" s="141"/>
      <c r="C1795" s="43"/>
      <c r="D1795" s="16" t="s">
        <v>67</v>
      </c>
      <c r="E1795" s="43" t="s">
        <v>68</v>
      </c>
      <c r="F1795" s="637"/>
    </row>
    <row r="1796" spans="1:6">
      <c r="A1796" s="545"/>
      <c r="B1796" s="289"/>
      <c r="C1796" s="575">
        <f>C1776+C1788</f>
        <v>790.2</v>
      </c>
      <c r="D1796" s="19"/>
      <c r="E1796" s="600"/>
      <c r="F1796" s="523"/>
    </row>
    <row r="1797" spans="1:6">
      <c r="A1797" s="734" t="s">
        <v>392</v>
      </c>
      <c r="B1797" s="735"/>
      <c r="C1797" s="735"/>
      <c r="D1797" s="735"/>
      <c r="E1797" s="735"/>
      <c r="F1797" s="736"/>
    </row>
    <row r="1798" spans="1:6">
      <c r="A1798" s="128"/>
      <c r="B1798" s="138"/>
      <c r="C1798" s="451">
        <f>C1800+C1808+C1832/2</f>
        <v>807.95</v>
      </c>
      <c r="D1798" s="138"/>
      <c r="E1798" s="129"/>
      <c r="F1798" s="138"/>
    </row>
    <row r="1799" spans="1:6">
      <c r="A1799" s="131">
        <v>1</v>
      </c>
      <c r="B1799" s="139" t="s">
        <v>393</v>
      </c>
      <c r="C1799" s="149"/>
      <c r="D1799" s="143"/>
      <c r="E1799" s="132"/>
      <c r="F1799" s="524"/>
    </row>
    <row r="1800" spans="1:6">
      <c r="A1800" s="131" t="s">
        <v>11</v>
      </c>
      <c r="B1800" s="140" t="s">
        <v>12</v>
      </c>
      <c r="C1800" s="149">
        <v>532.6</v>
      </c>
      <c r="D1800" s="133" t="s">
        <v>72</v>
      </c>
      <c r="E1800" s="142" t="s">
        <v>9</v>
      </c>
      <c r="F1800" s="706" t="s">
        <v>394</v>
      </c>
    </row>
    <row r="1801" spans="1:6">
      <c r="A1801" s="131"/>
      <c r="B1801" s="537" t="s">
        <v>14</v>
      </c>
      <c r="C1801" s="142">
        <v>71.3</v>
      </c>
      <c r="D1801" s="143" t="s">
        <v>15</v>
      </c>
      <c r="E1801" s="132" t="s">
        <v>18</v>
      </c>
      <c r="F1801" s="706"/>
    </row>
    <row r="1802" spans="1:6">
      <c r="A1802" s="131"/>
      <c r="B1802" s="537" t="s">
        <v>47</v>
      </c>
      <c r="C1802" s="142">
        <v>13.4</v>
      </c>
      <c r="D1802" s="143" t="s">
        <v>20</v>
      </c>
      <c r="E1802" s="132" t="s">
        <v>18</v>
      </c>
      <c r="F1802" s="706"/>
    </row>
    <row r="1803" spans="1:6">
      <c r="A1803" s="131"/>
      <c r="B1803" s="537" t="s">
        <v>21</v>
      </c>
      <c r="C1803" s="142">
        <v>7.1</v>
      </c>
      <c r="D1803" s="143" t="s">
        <v>22</v>
      </c>
      <c r="E1803" s="132" t="s">
        <v>18</v>
      </c>
      <c r="F1803" s="706"/>
    </row>
    <row r="1804" spans="1:6">
      <c r="A1804" s="131"/>
      <c r="B1804" s="537"/>
      <c r="C1804" s="142"/>
      <c r="D1804" s="143" t="s">
        <v>67</v>
      </c>
      <c r="E1804" s="132" t="s">
        <v>68</v>
      </c>
      <c r="F1804" s="706"/>
    </row>
    <row r="1805" spans="1:6">
      <c r="A1805" s="131"/>
      <c r="B1805" s="537" t="s">
        <v>71</v>
      </c>
      <c r="C1805" s="142">
        <v>188.6</v>
      </c>
      <c r="D1805" s="143" t="s">
        <v>15</v>
      </c>
      <c r="E1805" s="132" t="s">
        <v>18</v>
      </c>
      <c r="F1805" s="706"/>
    </row>
    <row r="1806" spans="1:6">
      <c r="A1806" s="131"/>
      <c r="B1806" s="537" t="s">
        <v>36</v>
      </c>
      <c r="C1806" s="142">
        <v>252.2</v>
      </c>
      <c r="D1806" s="143" t="s">
        <v>15</v>
      </c>
      <c r="E1806" s="132" t="s">
        <v>42</v>
      </c>
      <c r="F1806" s="706"/>
    </row>
    <row r="1807" spans="1:6">
      <c r="A1807" s="131"/>
      <c r="B1807" s="537"/>
      <c r="C1807" s="142"/>
      <c r="D1807" s="143"/>
      <c r="E1807" s="132"/>
      <c r="F1807" s="706"/>
    </row>
    <row r="1808" spans="1:6">
      <c r="A1808" s="131" t="s">
        <v>29</v>
      </c>
      <c r="B1808" s="140" t="s">
        <v>30</v>
      </c>
      <c r="C1808" s="149">
        <v>215.35</v>
      </c>
      <c r="D1808" s="143" t="s">
        <v>13</v>
      </c>
      <c r="E1808" s="132" t="s">
        <v>9</v>
      </c>
      <c r="F1808" s="737"/>
    </row>
    <row r="1809" spans="1:6">
      <c r="A1809" s="131"/>
      <c r="B1809" s="537" t="s">
        <v>47</v>
      </c>
      <c r="C1809" s="142">
        <v>13.4</v>
      </c>
      <c r="D1809" s="143" t="s">
        <v>20</v>
      </c>
      <c r="E1809" s="132" t="s">
        <v>18</v>
      </c>
      <c r="F1809" s="737"/>
    </row>
    <row r="1810" spans="1:6">
      <c r="A1810" s="131"/>
      <c r="B1810" s="537" t="s">
        <v>71</v>
      </c>
      <c r="C1810" s="142">
        <v>201.95</v>
      </c>
      <c r="D1810" s="143" t="s">
        <v>15</v>
      </c>
      <c r="E1810" s="132" t="s">
        <v>18</v>
      </c>
      <c r="F1810" s="737"/>
    </row>
    <row r="1811" spans="1:6">
      <c r="A1811" s="131"/>
      <c r="B1811" s="537"/>
      <c r="C1811" s="142"/>
      <c r="D1811" s="143"/>
      <c r="E1811" s="132"/>
      <c r="F1811" s="737"/>
    </row>
    <row r="1812" spans="1:6">
      <c r="A1812" s="9"/>
      <c r="B1812" s="281"/>
      <c r="C1812" s="452">
        <f>C1813+C1820+C1826+C1832/2</f>
        <v>786.7</v>
      </c>
      <c r="D1812" s="41"/>
      <c r="E1812" s="17"/>
      <c r="F1812" s="634" t="s">
        <v>395</v>
      </c>
    </row>
    <row r="1813" spans="1:6">
      <c r="A1813" s="545" t="s">
        <v>37</v>
      </c>
      <c r="B1813" s="140" t="s">
        <v>30</v>
      </c>
      <c r="C1813" s="546">
        <v>347.2</v>
      </c>
      <c r="D1813" s="133" t="s">
        <v>72</v>
      </c>
      <c r="E1813" s="142" t="s">
        <v>9</v>
      </c>
      <c r="F1813" s="738"/>
    </row>
    <row r="1814" spans="1:6">
      <c r="A1814" s="545"/>
      <c r="B1814" s="537" t="s">
        <v>17</v>
      </c>
      <c r="C1814" s="544">
        <v>119.2</v>
      </c>
      <c r="D1814" s="543" t="s">
        <v>15</v>
      </c>
      <c r="E1814" s="600" t="s">
        <v>18</v>
      </c>
      <c r="F1814" s="738"/>
    </row>
    <row r="1815" spans="1:6">
      <c r="A1815" s="545"/>
      <c r="B1815" s="537" t="s">
        <v>14</v>
      </c>
      <c r="C1815" s="544">
        <v>22.35</v>
      </c>
      <c r="D1815" s="543" t="s">
        <v>15</v>
      </c>
      <c r="E1815" s="600" t="s">
        <v>18</v>
      </c>
      <c r="F1815" s="738"/>
    </row>
    <row r="1816" spans="1:6">
      <c r="A1816" s="545"/>
      <c r="B1816" s="537" t="s">
        <v>47</v>
      </c>
      <c r="C1816" s="544">
        <v>13.4</v>
      </c>
      <c r="D1816" s="543" t="s">
        <v>20</v>
      </c>
      <c r="E1816" s="600" t="s">
        <v>18</v>
      </c>
      <c r="F1816" s="738"/>
    </row>
    <row r="1817" spans="1:6">
      <c r="A1817" s="545"/>
      <c r="B1817" s="537" t="s">
        <v>21</v>
      </c>
      <c r="C1817" s="544">
        <v>4.3</v>
      </c>
      <c r="D1817" s="543" t="s">
        <v>22</v>
      </c>
      <c r="E1817" s="600" t="s">
        <v>18</v>
      </c>
      <c r="F1817" s="738"/>
    </row>
    <row r="1818" spans="1:6">
      <c r="A1818" s="545"/>
      <c r="B1818" s="537" t="s">
        <v>71</v>
      </c>
      <c r="C1818" s="544">
        <v>164.45</v>
      </c>
      <c r="D1818" s="543" t="s">
        <v>15</v>
      </c>
      <c r="E1818" s="600" t="s">
        <v>18</v>
      </c>
      <c r="F1818" s="738"/>
    </row>
    <row r="1819" spans="1:6">
      <c r="A1819" s="545"/>
      <c r="B1819" s="537" t="s">
        <v>36</v>
      </c>
      <c r="C1819" s="544">
        <v>23.5</v>
      </c>
      <c r="D1819" s="543" t="s">
        <v>15</v>
      </c>
      <c r="E1819" s="600" t="s">
        <v>42</v>
      </c>
      <c r="F1819" s="738"/>
    </row>
    <row r="1820" spans="1:6">
      <c r="A1820" s="545" t="s">
        <v>81</v>
      </c>
      <c r="B1820" s="140" t="s">
        <v>38</v>
      </c>
      <c r="C1820" s="546">
        <f>SUM(C1821:C1825)</f>
        <v>111.89999999999999</v>
      </c>
      <c r="D1820" s="133" t="s">
        <v>72</v>
      </c>
      <c r="E1820" s="142" t="s">
        <v>9</v>
      </c>
      <c r="F1820" s="738"/>
    </row>
    <row r="1821" spans="1:6">
      <c r="A1821" s="545"/>
      <c r="B1821" s="537" t="s">
        <v>14</v>
      </c>
      <c r="C1821" s="544">
        <v>17.899999999999999</v>
      </c>
      <c r="D1821" s="543" t="s">
        <v>15</v>
      </c>
      <c r="E1821" s="600" t="s">
        <v>18</v>
      </c>
      <c r="F1821" s="738"/>
    </row>
    <row r="1822" spans="1:6">
      <c r="A1822" s="545"/>
      <c r="B1822" s="537" t="s">
        <v>47</v>
      </c>
      <c r="C1822" s="544">
        <v>13.4</v>
      </c>
      <c r="D1822" s="543" t="s">
        <v>20</v>
      </c>
      <c r="E1822" s="600" t="s">
        <v>18</v>
      </c>
      <c r="F1822" s="738"/>
    </row>
    <row r="1823" spans="1:6">
      <c r="A1823" s="545"/>
      <c r="B1823" s="537" t="s">
        <v>21</v>
      </c>
      <c r="C1823" s="544">
        <v>4.3</v>
      </c>
      <c r="D1823" s="543" t="s">
        <v>22</v>
      </c>
      <c r="E1823" s="600" t="s">
        <v>18</v>
      </c>
      <c r="F1823" s="738"/>
    </row>
    <row r="1824" spans="1:6">
      <c r="A1824" s="545"/>
      <c r="B1824" s="537" t="s">
        <v>71</v>
      </c>
      <c r="C1824" s="544">
        <v>11.3</v>
      </c>
      <c r="D1824" s="543" t="s">
        <v>15</v>
      </c>
      <c r="E1824" s="600" t="s">
        <v>42</v>
      </c>
      <c r="F1824" s="738"/>
    </row>
    <row r="1825" spans="1:6">
      <c r="A1825" s="545"/>
      <c r="B1825" s="537" t="s">
        <v>396</v>
      </c>
      <c r="C1825" s="544">
        <v>65</v>
      </c>
      <c r="D1825" s="543" t="s">
        <v>15</v>
      </c>
      <c r="E1825" s="600" t="s">
        <v>42</v>
      </c>
      <c r="F1825" s="738"/>
    </row>
    <row r="1826" spans="1:6">
      <c r="A1826" s="545">
        <v>2</v>
      </c>
      <c r="B1826" s="139" t="s">
        <v>397</v>
      </c>
      <c r="C1826" s="546">
        <v>267.60000000000002</v>
      </c>
      <c r="D1826" s="541"/>
      <c r="E1826" s="600"/>
      <c r="F1826" s="738"/>
    </row>
    <row r="1827" spans="1:6">
      <c r="A1827" s="545" t="s">
        <v>11</v>
      </c>
      <c r="B1827" s="140" t="s">
        <v>12</v>
      </c>
      <c r="C1827" s="546">
        <v>267.60000000000002</v>
      </c>
      <c r="D1827" s="133" t="s">
        <v>72</v>
      </c>
      <c r="E1827" s="142" t="s">
        <v>9</v>
      </c>
      <c r="F1827" s="738"/>
    </row>
    <row r="1828" spans="1:6">
      <c r="A1828" s="545"/>
      <c r="B1828" s="537" t="s">
        <v>17</v>
      </c>
      <c r="C1828" s="544">
        <v>7.7</v>
      </c>
      <c r="D1828" s="543" t="s">
        <v>15</v>
      </c>
      <c r="E1828" s="600" t="s">
        <v>68</v>
      </c>
      <c r="F1828" s="738"/>
    </row>
    <row r="1829" spans="1:6">
      <c r="A1829" s="545"/>
      <c r="B1829" s="537" t="s">
        <v>14</v>
      </c>
      <c r="C1829" s="544">
        <v>98.1</v>
      </c>
      <c r="D1829" s="543" t="s">
        <v>15</v>
      </c>
      <c r="E1829" s="600" t="s">
        <v>68</v>
      </c>
      <c r="F1829" s="738"/>
    </row>
    <row r="1830" spans="1:6">
      <c r="A1830" s="545"/>
      <c r="B1830" s="537" t="s">
        <v>21</v>
      </c>
      <c r="C1830" s="544">
        <v>4.3</v>
      </c>
      <c r="D1830" s="543" t="s">
        <v>22</v>
      </c>
      <c r="E1830" s="600" t="s">
        <v>68</v>
      </c>
      <c r="F1830" s="738"/>
    </row>
    <row r="1831" spans="1:6">
      <c r="A1831" s="545"/>
      <c r="B1831" s="537" t="s">
        <v>36</v>
      </c>
      <c r="C1831" s="544">
        <v>157.5</v>
      </c>
      <c r="D1831" s="543" t="s">
        <v>27</v>
      </c>
      <c r="E1831" s="600" t="s">
        <v>68</v>
      </c>
      <c r="F1831" s="738"/>
    </row>
    <row r="1832" spans="1:6">
      <c r="A1832" s="545">
        <v>3</v>
      </c>
      <c r="B1832" s="140" t="s">
        <v>398</v>
      </c>
      <c r="C1832" s="551">
        <v>120</v>
      </c>
      <c r="D1832" s="543"/>
      <c r="E1832" s="600"/>
      <c r="F1832" s="535"/>
    </row>
    <row r="1833" spans="1:6">
      <c r="A1833" s="13"/>
      <c r="B1833" s="141" t="s">
        <v>399</v>
      </c>
      <c r="C1833" s="153">
        <v>120</v>
      </c>
      <c r="D1833" s="42" t="s">
        <v>15</v>
      </c>
      <c r="E1833" s="22" t="s">
        <v>28</v>
      </c>
      <c r="F1833" s="536"/>
    </row>
    <row r="1834" spans="1:6">
      <c r="A1834" s="545"/>
      <c r="B1834" s="289"/>
      <c r="C1834" s="575">
        <f>C1798+C1812</f>
        <v>1594.65</v>
      </c>
      <c r="D1834" s="19"/>
      <c r="E1834" s="600"/>
      <c r="F1834" s="152"/>
    </row>
    <row r="1835" spans="1:6">
      <c r="A1835" s="739" t="s">
        <v>400</v>
      </c>
      <c r="B1835" s="740"/>
      <c r="C1835" s="740"/>
      <c r="D1835" s="740"/>
      <c r="E1835" s="740"/>
      <c r="F1835" s="741"/>
    </row>
    <row r="1836" spans="1:6">
      <c r="A1836" s="9">
        <v>1</v>
      </c>
      <c r="B1836" s="282" t="s">
        <v>401</v>
      </c>
      <c r="C1836" s="452">
        <f>C1837+C1843+C1849</f>
        <v>698.90000000000009</v>
      </c>
      <c r="D1836" s="540"/>
      <c r="E1836" s="17"/>
      <c r="F1836" s="634" t="s">
        <v>402</v>
      </c>
    </row>
    <row r="1837" spans="1:6">
      <c r="A1837" s="545" t="s">
        <v>11</v>
      </c>
      <c r="B1837" s="140" t="s">
        <v>12</v>
      </c>
      <c r="C1837" s="546">
        <v>152.80000000000001</v>
      </c>
      <c r="D1837" s="133" t="s">
        <v>72</v>
      </c>
      <c r="E1837" s="142" t="s">
        <v>9</v>
      </c>
      <c r="F1837" s="635"/>
    </row>
    <row r="1838" spans="1:6">
      <c r="A1838" s="545"/>
      <c r="B1838" s="537" t="s">
        <v>14</v>
      </c>
      <c r="C1838" s="544">
        <v>31</v>
      </c>
      <c r="D1838" s="543" t="s">
        <v>15</v>
      </c>
      <c r="E1838" s="600" t="s">
        <v>18</v>
      </c>
      <c r="F1838" s="635"/>
    </row>
    <row r="1839" spans="1:6">
      <c r="A1839" s="545"/>
      <c r="B1839" s="537" t="s">
        <v>47</v>
      </c>
      <c r="C1839" s="544">
        <v>12.8</v>
      </c>
      <c r="D1839" s="543" t="s">
        <v>20</v>
      </c>
      <c r="E1839" s="600" t="s">
        <v>18</v>
      </c>
      <c r="F1839" s="635"/>
    </row>
    <row r="1840" spans="1:6">
      <c r="A1840" s="545"/>
      <c r="B1840" s="537" t="s">
        <v>71</v>
      </c>
      <c r="C1840" s="544">
        <v>72.8</v>
      </c>
      <c r="D1840" s="543" t="s">
        <v>15</v>
      </c>
      <c r="E1840" s="600" t="s">
        <v>18</v>
      </c>
      <c r="F1840" s="635"/>
    </row>
    <row r="1841" spans="1:6">
      <c r="A1841" s="545"/>
      <c r="B1841" s="537" t="s">
        <v>36</v>
      </c>
      <c r="C1841" s="544">
        <v>27.3</v>
      </c>
      <c r="D1841" s="543" t="s">
        <v>15</v>
      </c>
      <c r="E1841" s="600" t="s">
        <v>28</v>
      </c>
      <c r="F1841" s="635"/>
    </row>
    <row r="1842" spans="1:6">
      <c r="A1842" s="545"/>
      <c r="B1842" s="537" t="s">
        <v>21</v>
      </c>
      <c r="C1842" s="544">
        <v>8.9</v>
      </c>
      <c r="D1842" s="543" t="s">
        <v>22</v>
      </c>
      <c r="E1842" s="600" t="s">
        <v>18</v>
      </c>
      <c r="F1842" s="635"/>
    </row>
    <row r="1843" spans="1:6">
      <c r="A1843" s="545" t="s">
        <v>29</v>
      </c>
      <c r="B1843" s="140" t="s">
        <v>30</v>
      </c>
      <c r="C1843" s="546">
        <f>SUM(C1844:C1848)</f>
        <v>334.1</v>
      </c>
      <c r="D1843" s="133" t="s">
        <v>72</v>
      </c>
      <c r="E1843" s="142" t="s">
        <v>9</v>
      </c>
      <c r="F1843" s="635"/>
    </row>
    <row r="1844" spans="1:6">
      <c r="A1844" s="545"/>
      <c r="B1844" s="537" t="s">
        <v>17</v>
      </c>
      <c r="C1844" s="544">
        <v>165.9</v>
      </c>
      <c r="D1844" s="543" t="s">
        <v>15</v>
      </c>
      <c r="E1844" s="600" t="s">
        <v>18</v>
      </c>
      <c r="F1844" s="635"/>
    </row>
    <row r="1845" spans="1:6">
      <c r="A1845" s="545"/>
      <c r="B1845" s="537" t="s">
        <v>14</v>
      </c>
      <c r="C1845" s="544">
        <v>41</v>
      </c>
      <c r="D1845" s="543" t="s">
        <v>15</v>
      </c>
      <c r="E1845" s="600" t="s">
        <v>18</v>
      </c>
      <c r="F1845" s="635"/>
    </row>
    <row r="1846" spans="1:6">
      <c r="A1846" s="545"/>
      <c r="B1846" s="537" t="s">
        <v>47</v>
      </c>
      <c r="C1846" s="544">
        <v>8.3000000000000007</v>
      </c>
      <c r="D1846" s="543" t="s">
        <v>20</v>
      </c>
      <c r="E1846" s="600" t="s">
        <v>18</v>
      </c>
      <c r="F1846" s="635"/>
    </row>
    <row r="1847" spans="1:6">
      <c r="A1847" s="545"/>
      <c r="B1847" s="537" t="s">
        <v>21</v>
      </c>
      <c r="C1847" s="544">
        <v>3.1</v>
      </c>
      <c r="D1847" s="543" t="s">
        <v>22</v>
      </c>
      <c r="E1847" s="600" t="s">
        <v>18</v>
      </c>
      <c r="F1847" s="635"/>
    </row>
    <row r="1848" spans="1:6">
      <c r="A1848" s="545"/>
      <c r="B1848" s="537" t="s">
        <v>36</v>
      </c>
      <c r="C1848" s="544">
        <v>115.8</v>
      </c>
      <c r="D1848" s="543" t="s">
        <v>15</v>
      </c>
      <c r="E1848" s="600" t="s">
        <v>18</v>
      </c>
      <c r="F1848" s="635"/>
    </row>
    <row r="1849" spans="1:6">
      <c r="A1849" s="545" t="s">
        <v>37</v>
      </c>
      <c r="B1849" s="140" t="s">
        <v>403</v>
      </c>
      <c r="C1849" s="25">
        <v>212</v>
      </c>
      <c r="D1849" s="133" t="s">
        <v>72</v>
      </c>
      <c r="E1849" s="142" t="s">
        <v>9</v>
      </c>
      <c r="F1849" s="635"/>
    </row>
    <row r="1850" spans="1:6">
      <c r="A1850" s="545"/>
      <c r="B1850" s="537" t="s">
        <v>96</v>
      </c>
      <c r="C1850" s="544">
        <v>44.4</v>
      </c>
      <c r="D1850" s="543" t="s">
        <v>15</v>
      </c>
      <c r="E1850" s="600" t="s">
        <v>42</v>
      </c>
      <c r="F1850" s="635"/>
    </row>
    <row r="1851" spans="1:6">
      <c r="A1851" s="545"/>
      <c r="B1851" s="537" t="s">
        <v>36</v>
      </c>
      <c r="C1851" s="544">
        <v>81.599999999999994</v>
      </c>
      <c r="D1851" s="543" t="s">
        <v>15</v>
      </c>
      <c r="E1851" s="600" t="s">
        <v>42</v>
      </c>
      <c r="F1851" s="635"/>
    </row>
    <row r="1852" spans="1:6">
      <c r="A1852" s="545"/>
      <c r="B1852" s="537" t="s">
        <v>39</v>
      </c>
      <c r="C1852" s="544">
        <v>55.9</v>
      </c>
      <c r="D1852" s="543" t="s">
        <v>15</v>
      </c>
      <c r="E1852" s="600" t="s">
        <v>42</v>
      </c>
      <c r="F1852" s="635"/>
    </row>
    <row r="1853" spans="1:6">
      <c r="A1853" s="545"/>
      <c r="B1853" s="537" t="s">
        <v>21</v>
      </c>
      <c r="C1853" s="544">
        <v>7.8</v>
      </c>
      <c r="D1853" s="543" t="s">
        <v>22</v>
      </c>
      <c r="E1853" s="600" t="s">
        <v>18</v>
      </c>
      <c r="F1853" s="635"/>
    </row>
    <row r="1854" spans="1:6">
      <c r="A1854" s="13"/>
      <c r="B1854" s="141" t="s">
        <v>47</v>
      </c>
      <c r="C1854" s="22">
        <v>22.3</v>
      </c>
      <c r="D1854" s="42" t="s">
        <v>20</v>
      </c>
      <c r="E1854" s="22" t="s">
        <v>18</v>
      </c>
      <c r="F1854" s="522"/>
    </row>
    <row r="1855" spans="1:6">
      <c r="A1855" s="639" t="s">
        <v>404</v>
      </c>
      <c r="B1855" s="640"/>
      <c r="C1855" s="640"/>
      <c r="D1855" s="640"/>
      <c r="E1855" s="640"/>
      <c r="F1855" s="641"/>
    </row>
    <row r="1856" spans="1:6">
      <c r="A1856" s="128"/>
      <c r="B1856" s="138"/>
      <c r="C1856" s="445">
        <v>555.70000000000005</v>
      </c>
      <c r="D1856" s="138"/>
      <c r="E1856" s="129"/>
      <c r="F1856" s="138"/>
    </row>
    <row r="1857" spans="1:6">
      <c r="A1857" s="131">
        <v>1</v>
      </c>
      <c r="B1857" s="139" t="s">
        <v>405</v>
      </c>
      <c r="C1857" s="134" t="s">
        <v>214</v>
      </c>
      <c r="D1857" s="142"/>
      <c r="E1857" s="132"/>
      <c r="F1857" s="706" t="s">
        <v>406</v>
      </c>
    </row>
    <row r="1858" spans="1:6">
      <c r="A1858" s="131"/>
      <c r="B1858" s="140"/>
      <c r="C1858" s="132"/>
      <c r="D1858" s="143"/>
      <c r="E1858" s="132"/>
      <c r="F1858" s="706"/>
    </row>
    <row r="1859" spans="1:6">
      <c r="A1859" s="131" t="s">
        <v>11</v>
      </c>
      <c r="B1859" s="140" t="s">
        <v>12</v>
      </c>
      <c r="C1859" s="134">
        <f>SUM(C1860:C1863)</f>
        <v>278.39999999999998</v>
      </c>
      <c r="D1859" s="133" t="s">
        <v>72</v>
      </c>
      <c r="E1859" s="142" t="s">
        <v>9</v>
      </c>
      <c r="F1859" s="706"/>
    </row>
    <row r="1860" spans="1:6">
      <c r="A1860" s="131"/>
      <c r="B1860" s="537" t="s">
        <v>14</v>
      </c>
      <c r="C1860" s="132">
        <v>55.3</v>
      </c>
      <c r="D1860" s="143" t="s">
        <v>15</v>
      </c>
      <c r="E1860" s="132" t="s">
        <v>18</v>
      </c>
      <c r="F1860" s="706"/>
    </row>
    <row r="1861" spans="1:6">
      <c r="A1861" s="131"/>
      <c r="B1861" s="537" t="s">
        <v>47</v>
      </c>
      <c r="C1861" s="132">
        <v>13.8</v>
      </c>
      <c r="D1861" s="143" t="s">
        <v>20</v>
      </c>
      <c r="E1861" s="132" t="s">
        <v>18</v>
      </c>
      <c r="F1861" s="706"/>
    </row>
    <row r="1862" spans="1:6">
      <c r="A1862" s="131"/>
      <c r="B1862" s="537" t="s">
        <v>407</v>
      </c>
      <c r="C1862" s="132">
        <v>43.5</v>
      </c>
      <c r="D1862" s="143" t="s">
        <v>20</v>
      </c>
      <c r="E1862" s="132" t="s">
        <v>28</v>
      </c>
      <c r="F1862" s="706"/>
    </row>
    <row r="1863" spans="1:6">
      <c r="A1863" s="131"/>
      <c r="B1863" s="537" t="s">
        <v>17</v>
      </c>
      <c r="C1863" s="132">
        <v>165.8</v>
      </c>
      <c r="D1863" s="143" t="s">
        <v>15</v>
      </c>
      <c r="E1863" s="132" t="s">
        <v>18</v>
      </c>
      <c r="F1863" s="706"/>
    </row>
    <row r="1864" spans="1:6">
      <c r="A1864" s="131" t="s">
        <v>29</v>
      </c>
      <c r="B1864" s="140" t="s">
        <v>30</v>
      </c>
      <c r="C1864" s="134">
        <f>SUM(C1865:C1868)</f>
        <v>277.29999999999995</v>
      </c>
      <c r="D1864" s="133" t="s">
        <v>72</v>
      </c>
      <c r="E1864" s="142" t="s">
        <v>9</v>
      </c>
      <c r="F1864" s="706"/>
    </row>
    <row r="1865" spans="1:6">
      <c r="A1865" s="131"/>
      <c r="B1865" s="537" t="s">
        <v>17</v>
      </c>
      <c r="C1865" s="132">
        <v>222.7</v>
      </c>
      <c r="D1865" s="143" t="s">
        <v>15</v>
      </c>
      <c r="E1865" s="132" t="s">
        <v>18</v>
      </c>
      <c r="F1865" s="706"/>
    </row>
    <row r="1866" spans="1:6">
      <c r="A1866" s="131"/>
      <c r="B1866" s="537" t="s">
        <v>14</v>
      </c>
      <c r="C1866" s="132">
        <v>38.4</v>
      </c>
      <c r="D1866" s="143" t="s">
        <v>15</v>
      </c>
      <c r="E1866" s="132" t="s">
        <v>18</v>
      </c>
      <c r="F1866" s="706"/>
    </row>
    <row r="1867" spans="1:6">
      <c r="A1867" s="131"/>
      <c r="B1867" s="537" t="s">
        <v>47</v>
      </c>
      <c r="C1867" s="132">
        <v>16.2</v>
      </c>
      <c r="D1867" s="143" t="s">
        <v>20</v>
      </c>
      <c r="E1867" s="132" t="s">
        <v>18</v>
      </c>
      <c r="F1867" s="706"/>
    </row>
    <row r="1868" spans="1:6">
      <c r="A1868" s="131"/>
      <c r="B1868" s="537" t="s">
        <v>36</v>
      </c>
      <c r="C1868" s="132"/>
      <c r="D1868" s="143" t="s">
        <v>15</v>
      </c>
      <c r="E1868" s="132" t="s">
        <v>42</v>
      </c>
      <c r="F1868" s="706"/>
    </row>
    <row r="1869" spans="1:6">
      <c r="A1869" s="131"/>
      <c r="B1869" s="537" t="s">
        <v>408</v>
      </c>
      <c r="C1869" s="132">
        <v>6</v>
      </c>
      <c r="D1869" s="143" t="s">
        <v>409</v>
      </c>
      <c r="E1869" s="132" t="s">
        <v>18</v>
      </c>
      <c r="F1869" s="706"/>
    </row>
    <row r="1870" spans="1:6">
      <c r="A1870" s="131"/>
      <c r="B1870" s="537"/>
      <c r="C1870" s="132"/>
      <c r="D1870" s="143" t="s">
        <v>27</v>
      </c>
      <c r="E1870" s="132" t="s">
        <v>42</v>
      </c>
      <c r="F1870" s="706"/>
    </row>
    <row r="1871" spans="1:6">
      <c r="A1871" s="148"/>
      <c r="B1871" s="206"/>
      <c r="C1871" s="445">
        <v>642.1</v>
      </c>
      <c r="D1871" s="150"/>
      <c r="E1871" s="156"/>
      <c r="F1871" s="533"/>
    </row>
    <row r="1872" spans="1:6">
      <c r="A1872" s="545">
        <v>2</v>
      </c>
      <c r="B1872" s="139" t="s">
        <v>405</v>
      </c>
      <c r="C1872" s="25"/>
      <c r="D1872" s="541"/>
      <c r="E1872" s="600"/>
      <c r="F1872" s="635" t="s">
        <v>410</v>
      </c>
    </row>
    <row r="1873" spans="1:6">
      <c r="A1873" s="545"/>
      <c r="B1873" s="140" t="s">
        <v>78</v>
      </c>
      <c r="C1873" s="546">
        <v>241.6</v>
      </c>
      <c r="D1873" s="133" t="s">
        <v>72</v>
      </c>
      <c r="E1873" s="142" t="s">
        <v>9</v>
      </c>
      <c r="F1873" s="635"/>
    </row>
    <row r="1874" spans="1:6">
      <c r="A1874" s="545" t="s">
        <v>11</v>
      </c>
      <c r="B1874" s="537" t="s">
        <v>96</v>
      </c>
      <c r="C1874" s="155">
        <v>97.5</v>
      </c>
      <c r="D1874" s="543" t="s">
        <v>15</v>
      </c>
      <c r="E1874" s="600" t="s">
        <v>18</v>
      </c>
      <c r="F1874" s="635"/>
    </row>
    <row r="1875" spans="1:6">
      <c r="A1875" s="545"/>
      <c r="B1875" s="537" t="s">
        <v>36</v>
      </c>
      <c r="C1875" s="544">
        <v>73.599999999999994</v>
      </c>
      <c r="D1875" s="543" t="s">
        <v>15</v>
      </c>
      <c r="E1875" s="600" t="s">
        <v>28</v>
      </c>
      <c r="F1875" s="635"/>
    </row>
    <row r="1876" spans="1:6">
      <c r="A1876" s="545"/>
      <c r="B1876" s="537" t="s">
        <v>39</v>
      </c>
      <c r="C1876" s="544">
        <v>27.7</v>
      </c>
      <c r="D1876" s="543" t="s">
        <v>15</v>
      </c>
      <c r="E1876" s="600" t="s">
        <v>18</v>
      </c>
      <c r="F1876" s="635"/>
    </row>
    <row r="1877" spans="1:6">
      <c r="A1877" s="545"/>
      <c r="B1877" s="537" t="s">
        <v>21</v>
      </c>
      <c r="C1877" s="544">
        <v>15</v>
      </c>
      <c r="D1877" s="543" t="s">
        <v>22</v>
      </c>
      <c r="E1877" s="600" t="s">
        <v>18</v>
      </c>
      <c r="F1877" s="635"/>
    </row>
    <row r="1878" spans="1:6">
      <c r="A1878" s="545"/>
      <c r="B1878" s="537" t="s">
        <v>47</v>
      </c>
      <c r="C1878" s="544">
        <v>27.8</v>
      </c>
      <c r="D1878" s="543" t="s">
        <v>67</v>
      </c>
      <c r="E1878" s="600" t="s">
        <v>18</v>
      </c>
      <c r="F1878" s="635"/>
    </row>
    <row r="1879" spans="1:6">
      <c r="A1879" s="545"/>
      <c r="B1879" s="140" t="s">
        <v>30</v>
      </c>
      <c r="C1879" s="546">
        <v>400.5</v>
      </c>
      <c r="D1879" s="133" t="s">
        <v>72</v>
      </c>
      <c r="E1879" s="142" t="s">
        <v>9</v>
      </c>
      <c r="F1879" s="635"/>
    </row>
    <row r="1880" spans="1:6">
      <c r="A1880" s="545" t="s">
        <v>29</v>
      </c>
      <c r="B1880" s="537" t="s">
        <v>21</v>
      </c>
      <c r="C1880" s="544">
        <v>9.4</v>
      </c>
      <c r="D1880" s="543" t="s">
        <v>22</v>
      </c>
      <c r="E1880" s="600" t="s">
        <v>18</v>
      </c>
      <c r="F1880" s="635"/>
    </row>
    <row r="1881" spans="1:6">
      <c r="A1881" s="545"/>
      <c r="B1881" s="537"/>
      <c r="C1881" s="544"/>
      <c r="D1881" s="543" t="s">
        <v>67</v>
      </c>
      <c r="E1881" s="600" t="s">
        <v>68</v>
      </c>
      <c r="F1881" s="635"/>
    </row>
    <row r="1882" spans="1:6">
      <c r="A1882" s="545"/>
      <c r="B1882" s="537" t="s">
        <v>17</v>
      </c>
      <c r="C1882" s="544">
        <v>145.69999999999999</v>
      </c>
      <c r="D1882" s="543" t="s">
        <v>15</v>
      </c>
      <c r="E1882" s="600" t="s">
        <v>18</v>
      </c>
      <c r="F1882" s="635"/>
    </row>
    <row r="1883" spans="1:6">
      <c r="A1883" s="545"/>
      <c r="B1883" s="537" t="s">
        <v>411</v>
      </c>
      <c r="C1883" s="544">
        <v>76.599999999999994</v>
      </c>
      <c r="D1883" s="543" t="s">
        <v>15</v>
      </c>
      <c r="E1883" s="600" t="s">
        <v>42</v>
      </c>
      <c r="F1883" s="635"/>
    </row>
    <row r="1884" spans="1:6">
      <c r="A1884" s="545"/>
      <c r="B1884" s="537" t="s">
        <v>36</v>
      </c>
      <c r="C1884" s="544">
        <v>90</v>
      </c>
      <c r="D1884" s="543" t="s">
        <v>27</v>
      </c>
      <c r="E1884" s="600" t="s">
        <v>42</v>
      </c>
      <c r="F1884" s="635"/>
    </row>
    <row r="1885" spans="1:6">
      <c r="A1885" s="545"/>
      <c r="B1885" s="537" t="s">
        <v>39</v>
      </c>
      <c r="C1885" s="544">
        <v>65.2</v>
      </c>
      <c r="D1885" s="543" t="s">
        <v>27</v>
      </c>
      <c r="E1885" s="600" t="s">
        <v>18</v>
      </c>
      <c r="F1885" s="635"/>
    </row>
    <row r="1886" spans="1:6">
      <c r="A1886" s="13"/>
      <c r="B1886" s="141" t="s">
        <v>76</v>
      </c>
      <c r="C1886" s="22">
        <v>13.6</v>
      </c>
      <c r="D1886" s="42" t="s">
        <v>27</v>
      </c>
      <c r="E1886" s="22" t="s">
        <v>18</v>
      </c>
      <c r="F1886" s="636"/>
    </row>
    <row r="1887" spans="1:6">
      <c r="A1887" s="545"/>
      <c r="B1887" s="289"/>
      <c r="C1887" s="576">
        <f>C1856+C1871</f>
        <v>1197.8000000000002</v>
      </c>
      <c r="D1887" s="19"/>
      <c r="E1887" s="600"/>
      <c r="F1887" s="523"/>
    </row>
    <row r="1888" spans="1:6">
      <c r="A1888" s="639" t="s">
        <v>412</v>
      </c>
      <c r="B1888" s="640"/>
      <c r="C1888" s="640"/>
      <c r="D1888" s="640"/>
      <c r="E1888" s="640"/>
      <c r="F1888" s="641"/>
    </row>
    <row r="1889" spans="1:6">
      <c r="A1889" s="128"/>
      <c r="B1889" s="138"/>
      <c r="C1889" s="445">
        <v>1171.0999999999999</v>
      </c>
      <c r="D1889" s="138"/>
      <c r="E1889" s="129"/>
      <c r="F1889" s="138"/>
    </row>
    <row r="1890" spans="1:6">
      <c r="A1890" s="131">
        <v>1</v>
      </c>
      <c r="B1890" s="139" t="s">
        <v>413</v>
      </c>
      <c r="C1890" s="127"/>
      <c r="D1890" s="143"/>
      <c r="E1890" s="132"/>
      <c r="F1890" s="706" t="s">
        <v>414</v>
      </c>
    </row>
    <row r="1891" spans="1:6">
      <c r="A1891" s="131" t="s">
        <v>11</v>
      </c>
      <c r="B1891" s="140" t="s">
        <v>372</v>
      </c>
      <c r="C1891" s="134">
        <v>702.6</v>
      </c>
      <c r="D1891" s="143" t="s">
        <v>72</v>
      </c>
      <c r="E1891" s="132" t="s">
        <v>9</v>
      </c>
      <c r="F1891" s="706"/>
    </row>
    <row r="1892" spans="1:6">
      <c r="A1892" s="131"/>
      <c r="B1892" s="537" t="s">
        <v>415</v>
      </c>
      <c r="C1892" s="132">
        <v>179.7</v>
      </c>
      <c r="D1892" s="143" t="s">
        <v>15</v>
      </c>
      <c r="E1892" s="132" t="s">
        <v>42</v>
      </c>
      <c r="F1892" s="706"/>
    </row>
    <row r="1893" spans="1:6">
      <c r="A1893" s="131"/>
      <c r="B1893" s="537" t="s">
        <v>14</v>
      </c>
      <c r="C1893" s="132">
        <v>106.9</v>
      </c>
      <c r="D1893" s="143" t="s">
        <v>15</v>
      </c>
      <c r="E1893" s="132" t="s">
        <v>18</v>
      </c>
      <c r="F1893" s="706"/>
    </row>
    <row r="1894" spans="1:6">
      <c r="A1894" s="131"/>
      <c r="B1894" s="537" t="s">
        <v>416</v>
      </c>
      <c r="C1894" s="132">
        <v>42.7</v>
      </c>
      <c r="D1894" s="143" t="s">
        <v>15</v>
      </c>
      <c r="E1894" s="132" t="s">
        <v>28</v>
      </c>
      <c r="F1894" s="706"/>
    </row>
    <row r="1895" spans="1:6">
      <c r="A1895" s="131"/>
      <c r="B1895" s="537" t="s">
        <v>153</v>
      </c>
      <c r="C1895" s="132">
        <v>172.6</v>
      </c>
      <c r="D1895" s="143" t="s">
        <v>15</v>
      </c>
      <c r="E1895" s="132" t="s">
        <v>42</v>
      </c>
      <c r="F1895" s="706"/>
    </row>
    <row r="1896" spans="1:6">
      <c r="A1896" s="131"/>
      <c r="B1896" s="537" t="s">
        <v>71</v>
      </c>
      <c r="C1896" s="132">
        <v>200.7</v>
      </c>
      <c r="D1896" s="143" t="s">
        <v>15</v>
      </c>
      <c r="E1896" s="132" t="s">
        <v>18</v>
      </c>
      <c r="F1896" s="706"/>
    </row>
    <row r="1897" spans="1:6">
      <c r="A1897" s="131"/>
      <c r="B1897" s="537"/>
      <c r="C1897" s="132"/>
      <c r="D1897" s="143"/>
      <c r="E1897" s="132"/>
      <c r="F1897" s="706"/>
    </row>
    <row r="1898" spans="1:6">
      <c r="A1898" s="131" t="s">
        <v>29</v>
      </c>
      <c r="B1898" s="140" t="s">
        <v>12</v>
      </c>
      <c r="C1898" s="134">
        <v>468.5</v>
      </c>
      <c r="D1898" s="143" t="s">
        <v>72</v>
      </c>
      <c r="E1898" s="132" t="s">
        <v>9</v>
      </c>
      <c r="F1898" s="706"/>
    </row>
    <row r="1899" spans="1:6">
      <c r="A1899" s="131"/>
      <c r="B1899" s="537" t="s">
        <v>417</v>
      </c>
      <c r="C1899" s="132">
        <v>129.30000000000001</v>
      </c>
      <c r="D1899" s="143" t="s">
        <v>15</v>
      </c>
      <c r="E1899" s="132" t="s">
        <v>18</v>
      </c>
      <c r="F1899" s="706"/>
    </row>
    <row r="1900" spans="1:6">
      <c r="A1900" s="131"/>
      <c r="B1900" s="537" t="s">
        <v>418</v>
      </c>
      <c r="C1900" s="132">
        <v>9.8000000000000007</v>
      </c>
      <c r="D1900" s="143" t="s">
        <v>22</v>
      </c>
      <c r="E1900" s="132" t="s">
        <v>18</v>
      </c>
      <c r="F1900" s="706"/>
    </row>
    <row r="1901" spans="1:6">
      <c r="A1901" s="131"/>
      <c r="B1901" s="537" t="s">
        <v>114</v>
      </c>
      <c r="C1901" s="132">
        <v>70.7</v>
      </c>
      <c r="D1901" s="143" t="s">
        <v>15</v>
      </c>
      <c r="E1901" s="132" t="s">
        <v>18</v>
      </c>
      <c r="F1901" s="706"/>
    </row>
    <row r="1902" spans="1:6">
      <c r="A1902" s="131"/>
      <c r="B1902" s="537" t="s">
        <v>419</v>
      </c>
      <c r="C1902" s="132">
        <v>160.30000000000001</v>
      </c>
      <c r="D1902" s="143" t="s">
        <v>15</v>
      </c>
      <c r="E1902" s="132" t="s">
        <v>18</v>
      </c>
      <c r="F1902" s="706"/>
    </row>
    <row r="1903" spans="1:6">
      <c r="A1903" s="131"/>
      <c r="B1903" s="537" t="s">
        <v>14</v>
      </c>
      <c r="C1903" s="132">
        <v>35.799999999999997</v>
      </c>
      <c r="D1903" s="143" t="s">
        <v>15</v>
      </c>
      <c r="E1903" s="132" t="s">
        <v>18</v>
      </c>
      <c r="F1903" s="706"/>
    </row>
    <row r="1904" spans="1:6">
      <c r="A1904" s="131"/>
      <c r="B1904" s="537" t="s">
        <v>35</v>
      </c>
      <c r="C1904" s="132">
        <v>17.7</v>
      </c>
      <c r="D1904" s="143" t="s">
        <v>15</v>
      </c>
      <c r="E1904" s="132" t="s">
        <v>18</v>
      </c>
      <c r="F1904" s="706"/>
    </row>
    <row r="1905" spans="1:6">
      <c r="A1905" s="135"/>
      <c r="B1905" s="141" t="s">
        <v>420</v>
      </c>
      <c r="C1905" s="136">
        <v>44.9</v>
      </c>
      <c r="D1905" s="144" t="s">
        <v>15</v>
      </c>
      <c r="E1905" s="136" t="s">
        <v>16</v>
      </c>
      <c r="F1905" s="707"/>
    </row>
    <row r="1906" spans="1:6">
      <c r="A1906" s="47" t="s">
        <v>37</v>
      </c>
      <c r="B1906" s="288" t="s">
        <v>30</v>
      </c>
      <c r="C1906" s="472">
        <f>C1908+C1909+C1910+C1911+C1912+C1913+C1914+C1915+C1916</f>
        <v>832.30000000000007</v>
      </c>
      <c r="D1906" s="19" t="s">
        <v>72</v>
      </c>
      <c r="E1906" s="603" t="s">
        <v>9</v>
      </c>
      <c r="F1906" s="633" t="s">
        <v>421</v>
      </c>
    </row>
    <row r="1907" spans="1:6">
      <c r="A1907" s="47"/>
      <c r="B1907" s="288"/>
      <c r="C1907" s="24"/>
      <c r="D1907" s="19"/>
      <c r="E1907" s="603"/>
      <c r="F1907" s="633"/>
    </row>
    <row r="1908" spans="1:6">
      <c r="A1908" s="47"/>
      <c r="B1908" s="289" t="s">
        <v>17</v>
      </c>
      <c r="C1908" s="541">
        <v>342.9</v>
      </c>
      <c r="D1908" s="19" t="s">
        <v>15</v>
      </c>
      <c r="E1908" s="603" t="s">
        <v>18</v>
      </c>
      <c r="F1908" s="633"/>
    </row>
    <row r="1909" spans="1:6">
      <c r="A1909" s="47"/>
      <c r="B1909" s="289" t="s">
        <v>422</v>
      </c>
      <c r="C1909" s="541">
        <v>13.7</v>
      </c>
      <c r="D1909" s="19" t="s">
        <v>22</v>
      </c>
      <c r="E1909" s="603" t="s">
        <v>18</v>
      </c>
      <c r="F1909" s="633"/>
    </row>
    <row r="1910" spans="1:6">
      <c r="A1910" s="47"/>
      <c r="B1910" s="289" t="s">
        <v>14</v>
      </c>
      <c r="C1910" s="541">
        <v>173.4</v>
      </c>
      <c r="D1910" s="19" t="s">
        <v>15</v>
      </c>
      <c r="E1910" s="603" t="s">
        <v>18</v>
      </c>
      <c r="F1910" s="633"/>
    </row>
    <row r="1911" spans="1:6">
      <c r="A1911" s="47"/>
      <c r="B1911" s="289" t="s">
        <v>47</v>
      </c>
      <c r="C1911" s="541">
        <v>26.2</v>
      </c>
      <c r="D1911" s="19" t="s">
        <v>15</v>
      </c>
      <c r="E1911" s="603" t="s">
        <v>18</v>
      </c>
      <c r="F1911" s="633"/>
    </row>
    <row r="1912" spans="1:6">
      <c r="A1912" s="47"/>
      <c r="B1912" s="289" t="s">
        <v>153</v>
      </c>
      <c r="C1912" s="541">
        <v>15.4</v>
      </c>
      <c r="D1912" s="19" t="s">
        <v>15</v>
      </c>
      <c r="E1912" s="603" t="s">
        <v>18</v>
      </c>
      <c r="F1912" s="633"/>
    </row>
    <row r="1913" spans="1:6">
      <c r="A1913" s="47"/>
      <c r="B1913" s="289" t="s">
        <v>40</v>
      </c>
      <c r="C1913" s="541">
        <v>14</v>
      </c>
      <c r="D1913" s="19" t="s">
        <v>15</v>
      </c>
      <c r="E1913" s="603" t="s">
        <v>68</v>
      </c>
      <c r="F1913" s="633"/>
    </row>
    <row r="1914" spans="1:6">
      <c r="A1914" s="47"/>
      <c r="B1914" s="289" t="s">
        <v>75</v>
      </c>
      <c r="C1914" s="541">
        <v>91.2</v>
      </c>
      <c r="D1914" s="19" t="s">
        <v>15</v>
      </c>
      <c r="E1914" s="603" t="s">
        <v>150</v>
      </c>
      <c r="F1914" s="633"/>
    </row>
    <row r="1915" spans="1:6">
      <c r="A1915" s="47"/>
      <c r="B1915" s="289" t="s">
        <v>423</v>
      </c>
      <c r="C1915" s="541">
        <v>118.1</v>
      </c>
      <c r="D1915" s="19" t="s">
        <v>22</v>
      </c>
      <c r="E1915" s="603" t="s">
        <v>150</v>
      </c>
      <c r="F1915" s="633"/>
    </row>
    <row r="1916" spans="1:6">
      <c r="A1916" s="47"/>
      <c r="B1916" s="289" t="s">
        <v>74</v>
      </c>
      <c r="C1916" s="541">
        <v>37.4</v>
      </c>
      <c r="D1916" s="19" t="s">
        <v>15</v>
      </c>
      <c r="E1916" s="603" t="s">
        <v>68</v>
      </c>
      <c r="F1916" s="633"/>
    </row>
    <row r="1917" spans="1:6">
      <c r="A1917" s="46" t="s">
        <v>81</v>
      </c>
      <c r="B1917" s="281" t="s">
        <v>38</v>
      </c>
      <c r="C1917" s="451">
        <v>822.1</v>
      </c>
      <c r="D1917" s="41" t="s">
        <v>72</v>
      </c>
      <c r="E1917" s="602" t="s">
        <v>9</v>
      </c>
      <c r="F1917" s="634" t="s">
        <v>424</v>
      </c>
    </row>
    <row r="1918" spans="1:6">
      <c r="A1918" s="47"/>
      <c r="B1918" s="537" t="s">
        <v>425</v>
      </c>
      <c r="C1918" s="541">
        <v>123.1</v>
      </c>
      <c r="D1918" s="543" t="s">
        <v>15</v>
      </c>
      <c r="E1918" s="603" t="s">
        <v>18</v>
      </c>
      <c r="F1918" s="635"/>
    </row>
    <row r="1919" spans="1:6">
      <c r="A1919" s="207"/>
      <c r="B1919" s="140" t="s">
        <v>17</v>
      </c>
      <c r="C1919" s="18">
        <v>241.5</v>
      </c>
      <c r="D1919" s="208" t="s">
        <v>15</v>
      </c>
      <c r="E1919" s="18" t="s">
        <v>18</v>
      </c>
      <c r="F1919" s="635"/>
    </row>
    <row r="1920" spans="1:6">
      <c r="A1920" s="47"/>
      <c r="B1920" s="537" t="s">
        <v>14</v>
      </c>
      <c r="C1920" s="541">
        <v>113.4</v>
      </c>
      <c r="D1920" s="543" t="s">
        <v>15</v>
      </c>
      <c r="E1920" s="603" t="s">
        <v>18</v>
      </c>
      <c r="F1920" s="635"/>
    </row>
    <row r="1921" spans="1:6">
      <c r="A1921" s="47"/>
      <c r="B1921" s="537" t="s">
        <v>47</v>
      </c>
      <c r="C1921" s="541">
        <v>26.4</v>
      </c>
      <c r="D1921" s="543" t="s">
        <v>15</v>
      </c>
      <c r="E1921" s="603" t="s">
        <v>18</v>
      </c>
      <c r="F1921" s="635"/>
    </row>
    <row r="1922" spans="1:6">
      <c r="A1922" s="47"/>
      <c r="B1922" s="537" t="s">
        <v>21</v>
      </c>
      <c r="C1922" s="541">
        <v>9.3000000000000007</v>
      </c>
      <c r="D1922" s="543" t="s">
        <v>22</v>
      </c>
      <c r="E1922" s="603" t="s">
        <v>18</v>
      </c>
      <c r="F1922" s="635"/>
    </row>
    <row r="1923" spans="1:6">
      <c r="A1923" s="47"/>
      <c r="B1923" s="537" t="s">
        <v>153</v>
      </c>
      <c r="C1923" s="541">
        <v>72.8</v>
      </c>
      <c r="D1923" s="543" t="s">
        <v>15</v>
      </c>
      <c r="E1923" s="603" t="s">
        <v>42</v>
      </c>
      <c r="F1923" s="635"/>
    </row>
    <row r="1924" spans="1:6">
      <c r="A1924" s="48"/>
      <c r="B1924" s="141" t="s">
        <v>426</v>
      </c>
      <c r="C1924" s="43">
        <v>224.7</v>
      </c>
      <c r="D1924" s="42" t="s">
        <v>15</v>
      </c>
      <c r="E1924" s="43" t="s">
        <v>427</v>
      </c>
      <c r="F1924" s="636"/>
    </row>
    <row r="1925" spans="1:6">
      <c r="A1925" s="47" t="s">
        <v>83</v>
      </c>
      <c r="B1925" s="140" t="s">
        <v>177</v>
      </c>
      <c r="C1925" s="473">
        <v>867.1</v>
      </c>
      <c r="D1925" s="543" t="s">
        <v>72</v>
      </c>
      <c r="E1925" s="93" t="s">
        <v>9</v>
      </c>
      <c r="F1925" s="635" t="s">
        <v>428</v>
      </c>
    </row>
    <row r="1926" spans="1:6">
      <c r="A1926" s="47"/>
      <c r="B1926" s="537" t="s">
        <v>429</v>
      </c>
      <c r="C1926" s="541">
        <v>585.79999999999995</v>
      </c>
      <c r="D1926" s="543" t="s">
        <v>15</v>
      </c>
      <c r="E1926" s="603" t="s">
        <v>18</v>
      </c>
      <c r="F1926" s="635"/>
    </row>
    <row r="1927" spans="1:6">
      <c r="A1927" s="47"/>
      <c r="B1927" s="537" t="s">
        <v>430</v>
      </c>
      <c r="C1927" s="541">
        <v>85.5</v>
      </c>
      <c r="D1927" s="543" t="s">
        <v>15</v>
      </c>
      <c r="E1927" s="603" t="s">
        <v>42</v>
      </c>
      <c r="F1927" s="635"/>
    </row>
    <row r="1928" spans="1:6">
      <c r="A1928" s="47"/>
      <c r="B1928" s="537" t="s">
        <v>21</v>
      </c>
      <c r="C1928" s="541">
        <v>9</v>
      </c>
      <c r="D1928" s="543" t="s">
        <v>22</v>
      </c>
      <c r="E1928" s="603" t="s">
        <v>18</v>
      </c>
      <c r="F1928" s="635"/>
    </row>
    <row r="1929" spans="1:6">
      <c r="A1929" s="47"/>
      <c r="B1929" s="537" t="s">
        <v>47</v>
      </c>
      <c r="C1929" s="541">
        <v>26.4</v>
      </c>
      <c r="D1929" s="543" t="s">
        <v>15</v>
      </c>
      <c r="E1929" s="603" t="s">
        <v>18</v>
      </c>
      <c r="F1929" s="635"/>
    </row>
    <row r="1930" spans="1:6">
      <c r="A1930" s="47"/>
      <c r="B1930" s="537" t="s">
        <v>14</v>
      </c>
      <c r="C1930" s="541">
        <v>67.3</v>
      </c>
      <c r="D1930" s="543" t="s">
        <v>15</v>
      </c>
      <c r="E1930" s="603" t="s">
        <v>18</v>
      </c>
      <c r="F1930" s="635"/>
    </row>
    <row r="1931" spans="1:6">
      <c r="A1931" s="47"/>
      <c r="B1931" s="537" t="s">
        <v>431</v>
      </c>
      <c r="C1931" s="541">
        <v>59</v>
      </c>
      <c r="D1931" s="543" t="s">
        <v>15</v>
      </c>
      <c r="E1931" s="603" t="s">
        <v>42</v>
      </c>
      <c r="F1931" s="635"/>
    </row>
    <row r="1932" spans="1:6">
      <c r="A1932" s="47"/>
      <c r="B1932" s="537" t="s">
        <v>432</v>
      </c>
      <c r="C1932" s="541">
        <v>34.1</v>
      </c>
      <c r="D1932" s="543" t="s">
        <v>15</v>
      </c>
      <c r="E1932" s="603" t="s">
        <v>18</v>
      </c>
      <c r="F1932" s="635"/>
    </row>
    <row r="1933" spans="1:6">
      <c r="A1933" s="46"/>
      <c r="B1933" s="281"/>
      <c r="C1933" s="451">
        <f>C1934+C1940</f>
        <v>1118.5999999999999</v>
      </c>
      <c r="D1933" s="41"/>
      <c r="E1933" s="602"/>
      <c r="F1933" s="520"/>
    </row>
    <row r="1934" spans="1:6">
      <c r="A1934" s="47" t="s">
        <v>179</v>
      </c>
      <c r="B1934" s="140" t="s">
        <v>180</v>
      </c>
      <c r="C1934" s="18">
        <f>C1935+C1939</f>
        <v>578</v>
      </c>
      <c r="D1934" s="543" t="s">
        <v>72</v>
      </c>
      <c r="E1934" s="603" t="s">
        <v>9</v>
      </c>
      <c r="F1934" s="635" t="s">
        <v>433</v>
      </c>
    </row>
    <row r="1935" spans="1:6">
      <c r="A1935" s="47"/>
      <c r="B1935" s="537" t="s">
        <v>153</v>
      </c>
      <c r="C1935" s="541">
        <v>280</v>
      </c>
      <c r="D1935" s="543" t="s">
        <v>15</v>
      </c>
      <c r="E1935" s="603" t="s">
        <v>88</v>
      </c>
      <c r="F1935" s="635"/>
    </row>
    <row r="1936" spans="1:6">
      <c r="A1936" s="47"/>
      <c r="B1936" s="537" t="s">
        <v>14</v>
      </c>
      <c r="C1936" s="541">
        <v>250.9</v>
      </c>
      <c r="D1936" s="543" t="s">
        <v>15</v>
      </c>
      <c r="E1936" s="603" t="s">
        <v>88</v>
      </c>
      <c r="F1936" s="635"/>
    </row>
    <row r="1937" spans="1:6">
      <c r="A1937" s="47"/>
      <c r="B1937" s="537" t="s">
        <v>104</v>
      </c>
      <c r="C1937" s="541">
        <v>10.1</v>
      </c>
      <c r="D1937" s="543" t="s">
        <v>22</v>
      </c>
      <c r="E1937" s="603" t="s">
        <v>18</v>
      </c>
      <c r="F1937" s="635"/>
    </row>
    <row r="1938" spans="1:6">
      <c r="A1938" s="47"/>
      <c r="B1938" s="537" t="s">
        <v>47</v>
      </c>
      <c r="C1938" s="541">
        <v>26.4</v>
      </c>
      <c r="D1938" s="543" t="s">
        <v>15</v>
      </c>
      <c r="E1938" s="603" t="s">
        <v>88</v>
      </c>
      <c r="F1938" s="635"/>
    </row>
    <row r="1939" spans="1:6">
      <c r="A1939" s="47"/>
      <c r="B1939" s="537" t="s">
        <v>429</v>
      </c>
      <c r="C1939" s="541">
        <v>298</v>
      </c>
      <c r="D1939" s="543" t="s">
        <v>15</v>
      </c>
      <c r="E1939" s="603" t="s">
        <v>18</v>
      </c>
      <c r="F1939" s="635"/>
    </row>
    <row r="1940" spans="1:6">
      <c r="A1940" s="545">
        <v>4</v>
      </c>
      <c r="B1940" s="290" t="s">
        <v>452</v>
      </c>
      <c r="C1940" s="11">
        <v>540.6</v>
      </c>
      <c r="D1940" s="543" t="s">
        <v>72</v>
      </c>
      <c r="E1940" s="32" t="s">
        <v>9</v>
      </c>
      <c r="F1940" s="635"/>
    </row>
    <row r="1941" spans="1:6">
      <c r="A1941" s="545"/>
      <c r="B1941" s="266" t="s">
        <v>453</v>
      </c>
      <c r="C1941" s="538">
        <v>35.200000000000003</v>
      </c>
      <c r="D1941" s="543" t="s">
        <v>15</v>
      </c>
      <c r="E1941" s="32" t="s">
        <v>18</v>
      </c>
      <c r="F1941" s="635"/>
    </row>
    <row r="1942" spans="1:6">
      <c r="A1942" s="545"/>
      <c r="B1942" s="266" t="s">
        <v>21</v>
      </c>
      <c r="C1942" s="538">
        <v>5.0999999999999996</v>
      </c>
      <c r="D1942" s="543" t="s">
        <v>22</v>
      </c>
      <c r="E1942" s="32" t="s">
        <v>18</v>
      </c>
      <c r="F1942" s="635"/>
    </row>
    <row r="1943" spans="1:6">
      <c r="A1943" s="545"/>
      <c r="B1943" s="266" t="s">
        <v>454</v>
      </c>
      <c r="C1943" s="538">
        <v>47.9</v>
      </c>
      <c r="D1943" s="543" t="s">
        <v>455</v>
      </c>
      <c r="E1943" s="32" t="s">
        <v>42</v>
      </c>
      <c r="F1943" s="635"/>
    </row>
    <row r="1944" spans="1:6">
      <c r="A1944" s="545"/>
      <c r="B1944" s="266" t="s">
        <v>456</v>
      </c>
      <c r="C1944" s="538">
        <v>82.1</v>
      </c>
      <c r="D1944" s="543" t="s">
        <v>27</v>
      </c>
      <c r="E1944" s="32" t="s">
        <v>42</v>
      </c>
      <c r="F1944" s="635"/>
    </row>
    <row r="1945" spans="1:6">
      <c r="A1945" s="545"/>
      <c r="B1945" s="266" t="s">
        <v>457</v>
      </c>
      <c r="C1945" s="538">
        <v>197.3</v>
      </c>
      <c r="D1945" s="543" t="s">
        <v>27</v>
      </c>
      <c r="E1945" s="32" t="s">
        <v>88</v>
      </c>
      <c r="F1945" s="635"/>
    </row>
    <row r="1946" spans="1:6">
      <c r="A1946" s="545"/>
      <c r="B1946" s="266" t="s">
        <v>457</v>
      </c>
      <c r="C1946" s="538">
        <v>162.9</v>
      </c>
      <c r="D1946" s="543" t="s">
        <v>27</v>
      </c>
      <c r="E1946" s="32" t="s">
        <v>88</v>
      </c>
      <c r="F1946" s="635"/>
    </row>
    <row r="1947" spans="1:6">
      <c r="A1947" s="545"/>
      <c r="B1947" s="266" t="s">
        <v>36</v>
      </c>
      <c r="C1947" s="538">
        <v>10.1</v>
      </c>
      <c r="D1947" s="543" t="s">
        <v>27</v>
      </c>
      <c r="E1947" s="32" t="s">
        <v>42</v>
      </c>
      <c r="F1947" s="636"/>
    </row>
    <row r="1948" spans="1:6">
      <c r="A1948" s="9"/>
      <c r="B1948" s="281"/>
      <c r="C1948" s="452">
        <f>C1949+C1954</f>
        <v>1003.4</v>
      </c>
      <c r="D1948" s="41"/>
      <c r="E1948" s="7"/>
      <c r="F1948" s="633" t="s">
        <v>434</v>
      </c>
    </row>
    <row r="1949" spans="1:6">
      <c r="A1949" s="545" t="s">
        <v>378</v>
      </c>
      <c r="B1949" s="140" t="s">
        <v>435</v>
      </c>
      <c r="C1949" s="546">
        <v>307.89999999999998</v>
      </c>
      <c r="D1949" s="543" t="s">
        <v>72</v>
      </c>
      <c r="E1949" s="32" t="s">
        <v>9</v>
      </c>
      <c r="F1949" s="732"/>
    </row>
    <row r="1950" spans="1:6">
      <c r="A1950" s="545"/>
      <c r="B1950" s="537" t="s">
        <v>436</v>
      </c>
      <c r="C1950" s="544">
        <v>261.3</v>
      </c>
      <c r="D1950" s="543" t="s">
        <v>15</v>
      </c>
      <c r="E1950" s="32" t="s">
        <v>18</v>
      </c>
      <c r="F1950" s="732"/>
    </row>
    <row r="1951" spans="1:6">
      <c r="A1951" s="545"/>
      <c r="B1951" s="537" t="s">
        <v>14</v>
      </c>
      <c r="C1951" s="544">
        <v>34.700000000000003</v>
      </c>
      <c r="D1951" s="543" t="s">
        <v>15</v>
      </c>
      <c r="E1951" s="32" t="s">
        <v>18</v>
      </c>
      <c r="F1951" s="732"/>
    </row>
    <row r="1952" spans="1:6">
      <c r="A1952" s="545"/>
      <c r="B1952" s="537" t="s">
        <v>104</v>
      </c>
      <c r="C1952" s="544">
        <v>11.9</v>
      </c>
      <c r="D1952" s="543" t="s">
        <v>22</v>
      </c>
      <c r="E1952" s="32" t="s">
        <v>18</v>
      </c>
      <c r="F1952" s="732"/>
    </row>
    <row r="1953" spans="1:6">
      <c r="A1953" s="545"/>
      <c r="B1953" s="537"/>
      <c r="C1953" s="544"/>
      <c r="D1953" s="543"/>
      <c r="E1953" s="32"/>
      <c r="F1953" s="732"/>
    </row>
    <row r="1954" spans="1:6">
      <c r="A1954" s="545">
        <v>2</v>
      </c>
      <c r="B1954" s="139" t="s">
        <v>437</v>
      </c>
      <c r="C1954" s="546">
        <f>C1955+C1956+C1957+C1958+C1959+C1960+C1961</f>
        <v>695.5</v>
      </c>
      <c r="D1954" s="543" t="s">
        <v>72</v>
      </c>
      <c r="E1954" s="32" t="s">
        <v>9</v>
      </c>
      <c r="F1954" s="732"/>
    </row>
    <row r="1955" spans="1:6">
      <c r="A1955" s="545"/>
      <c r="B1955" s="537" t="s">
        <v>438</v>
      </c>
      <c r="C1955" s="544">
        <v>108.9</v>
      </c>
      <c r="D1955" s="543" t="s">
        <v>15</v>
      </c>
      <c r="E1955" s="32" t="s">
        <v>18</v>
      </c>
      <c r="F1955" s="732"/>
    </row>
    <row r="1956" spans="1:6">
      <c r="A1956" s="545"/>
      <c r="B1956" s="537" t="s">
        <v>439</v>
      </c>
      <c r="C1956" s="544">
        <v>34.9</v>
      </c>
      <c r="D1956" s="543" t="s">
        <v>15</v>
      </c>
      <c r="E1956" s="32" t="s">
        <v>18</v>
      </c>
      <c r="F1956" s="732"/>
    </row>
    <row r="1957" spans="1:6">
      <c r="A1957" s="545"/>
      <c r="B1957" s="537" t="s">
        <v>440</v>
      </c>
      <c r="C1957" s="544">
        <v>54.2</v>
      </c>
      <c r="D1957" s="543" t="s">
        <v>15</v>
      </c>
      <c r="E1957" s="32" t="s">
        <v>18</v>
      </c>
      <c r="F1957" s="732"/>
    </row>
    <row r="1958" spans="1:6">
      <c r="A1958" s="545"/>
      <c r="B1958" s="537" t="s">
        <v>104</v>
      </c>
      <c r="C1958" s="544">
        <v>4</v>
      </c>
      <c r="D1958" s="543" t="s">
        <v>22</v>
      </c>
      <c r="E1958" s="32" t="s">
        <v>18</v>
      </c>
      <c r="F1958" s="732"/>
    </row>
    <row r="1959" spans="1:6">
      <c r="A1959" s="545"/>
      <c r="B1959" s="537" t="s">
        <v>420</v>
      </c>
      <c r="C1959" s="544">
        <v>194.4</v>
      </c>
      <c r="D1959" s="543" t="s">
        <v>15</v>
      </c>
      <c r="E1959" s="32" t="s">
        <v>16</v>
      </c>
      <c r="F1959" s="732"/>
    </row>
    <row r="1960" spans="1:6">
      <c r="A1960" s="545"/>
      <c r="B1960" s="537" t="s">
        <v>14</v>
      </c>
      <c r="C1960" s="544">
        <v>60.2</v>
      </c>
      <c r="D1960" s="543" t="s">
        <v>15</v>
      </c>
      <c r="E1960" s="32" t="s">
        <v>18</v>
      </c>
      <c r="F1960" s="732"/>
    </row>
    <row r="1961" spans="1:6">
      <c r="A1961" s="13"/>
      <c r="B1961" s="141" t="s">
        <v>441</v>
      </c>
      <c r="C1961" s="22">
        <v>238.9</v>
      </c>
      <c r="D1961" s="42" t="s">
        <v>15</v>
      </c>
      <c r="E1961" s="91" t="s">
        <v>42</v>
      </c>
      <c r="F1961" s="732"/>
    </row>
    <row r="1962" spans="1:6">
      <c r="A1962" s="47"/>
      <c r="B1962" s="140"/>
      <c r="C1962" s="472">
        <f>C1963</f>
        <v>955.6</v>
      </c>
      <c r="D1962" s="543"/>
      <c r="E1962" s="603"/>
      <c r="F1962" s="652" t="s">
        <v>442</v>
      </c>
    </row>
    <row r="1963" spans="1:6">
      <c r="A1963" s="47">
        <v>3</v>
      </c>
      <c r="B1963" s="139" t="s">
        <v>443</v>
      </c>
      <c r="C1963" s="18">
        <f>C1964+C1965+C1966+C1967+C1968+C1969+C1970+C1971+C1972+C1973</f>
        <v>955.6</v>
      </c>
      <c r="D1963" s="543" t="s">
        <v>72</v>
      </c>
      <c r="E1963" s="603" t="s">
        <v>9</v>
      </c>
      <c r="F1963" s="738"/>
    </row>
    <row r="1964" spans="1:6">
      <c r="A1964" s="47"/>
      <c r="B1964" s="537" t="s">
        <v>444</v>
      </c>
      <c r="C1964" s="541">
        <v>173</v>
      </c>
      <c r="D1964" s="543" t="s">
        <v>15</v>
      </c>
      <c r="E1964" s="603" t="s">
        <v>18</v>
      </c>
      <c r="F1964" s="738"/>
    </row>
    <row r="1965" spans="1:6">
      <c r="A1965" s="47"/>
      <c r="B1965" s="537" t="s">
        <v>445</v>
      </c>
      <c r="C1965" s="541">
        <v>155.4</v>
      </c>
      <c r="D1965" s="543" t="s">
        <v>15</v>
      </c>
      <c r="E1965" s="603" t="s">
        <v>42</v>
      </c>
      <c r="F1965" s="738"/>
    </row>
    <row r="1966" spans="1:6">
      <c r="A1966" s="47"/>
      <c r="B1966" s="537" t="s">
        <v>446</v>
      </c>
      <c r="C1966" s="541">
        <v>191.6</v>
      </c>
      <c r="D1966" s="543" t="s">
        <v>15</v>
      </c>
      <c r="E1966" s="603" t="s">
        <v>18</v>
      </c>
      <c r="F1966" s="738"/>
    </row>
    <row r="1967" spans="1:6">
      <c r="A1967" s="47"/>
      <c r="B1967" s="537" t="s">
        <v>447</v>
      </c>
      <c r="C1967" s="541">
        <v>74.900000000000006</v>
      </c>
      <c r="D1967" s="543" t="s">
        <v>15</v>
      </c>
      <c r="E1967" s="603" t="s">
        <v>68</v>
      </c>
      <c r="F1967" s="738"/>
    </row>
    <row r="1968" spans="1:6">
      <c r="A1968" s="47"/>
      <c r="B1968" s="537" t="s">
        <v>448</v>
      </c>
      <c r="C1968" s="541">
        <v>103</v>
      </c>
      <c r="D1968" s="543" t="s">
        <v>15</v>
      </c>
      <c r="E1968" s="603" t="s">
        <v>28</v>
      </c>
      <c r="F1968" s="738"/>
    </row>
    <row r="1969" spans="1:6">
      <c r="A1969" s="47"/>
      <c r="B1969" s="537" t="s">
        <v>449</v>
      </c>
      <c r="C1969" s="541">
        <v>90.7</v>
      </c>
      <c r="D1969" s="543" t="s">
        <v>15</v>
      </c>
      <c r="E1969" s="603" t="s">
        <v>68</v>
      </c>
      <c r="F1969" s="738"/>
    </row>
    <row r="1970" spans="1:6">
      <c r="A1970" s="47"/>
      <c r="B1970" s="537" t="s">
        <v>286</v>
      </c>
      <c r="C1970" s="541">
        <v>81.5</v>
      </c>
      <c r="D1970" s="543" t="s">
        <v>15</v>
      </c>
      <c r="E1970" s="603" t="s">
        <v>18</v>
      </c>
      <c r="F1970" s="738"/>
    </row>
    <row r="1971" spans="1:6">
      <c r="A1971" s="47"/>
      <c r="B1971" s="537" t="s">
        <v>450</v>
      </c>
      <c r="C1971" s="541">
        <v>22</v>
      </c>
      <c r="D1971" s="543" t="s">
        <v>15</v>
      </c>
      <c r="E1971" s="603" t="s">
        <v>42</v>
      </c>
      <c r="F1971" s="738"/>
    </row>
    <row r="1972" spans="1:6">
      <c r="A1972" s="47"/>
      <c r="B1972" s="537" t="s">
        <v>104</v>
      </c>
      <c r="C1972" s="541">
        <v>14.4</v>
      </c>
      <c r="D1972" s="543" t="s">
        <v>22</v>
      </c>
      <c r="E1972" s="603" t="s">
        <v>18</v>
      </c>
      <c r="F1972" s="738"/>
    </row>
    <row r="1973" spans="1:6">
      <c r="A1973" s="47"/>
      <c r="B1973" s="537" t="s">
        <v>451</v>
      </c>
      <c r="C1973" s="541">
        <v>49.1</v>
      </c>
      <c r="D1973" s="543" t="s">
        <v>15</v>
      </c>
      <c r="E1973" s="603" t="s">
        <v>28</v>
      </c>
      <c r="F1973" s="738"/>
    </row>
    <row r="1974" spans="1:6">
      <c r="A1974" s="48"/>
      <c r="B1974" s="141"/>
      <c r="C1974" s="43"/>
      <c r="D1974" s="42"/>
      <c r="E1974" s="43"/>
      <c r="F1974" s="744"/>
    </row>
    <row r="1975" spans="1:6" ht="14.25">
      <c r="A1975" s="131"/>
      <c r="B1975" s="289"/>
      <c r="C1975" s="575">
        <f>C1889+C1906+C1917+C1925+C1933+C1948+C1962</f>
        <v>6770.2</v>
      </c>
      <c r="D1975" s="133"/>
      <c r="E1975" s="132"/>
      <c r="F1975" s="474"/>
    </row>
    <row r="1976" spans="1:6">
      <c r="A1976" s="649" t="s">
        <v>459</v>
      </c>
      <c r="B1976" s="650"/>
      <c r="C1976" s="650"/>
      <c r="D1976" s="650"/>
      <c r="E1976" s="650"/>
      <c r="F1976" s="651"/>
    </row>
    <row r="1977" spans="1:6">
      <c r="A1977" s="128"/>
      <c r="B1977" s="138"/>
      <c r="C1977" s="445">
        <v>799.4</v>
      </c>
      <c r="D1977" s="138"/>
      <c r="E1977" s="129"/>
      <c r="F1977" s="138"/>
    </row>
    <row r="1978" spans="1:6">
      <c r="A1978" s="131">
        <v>1</v>
      </c>
      <c r="B1978" s="139" t="s">
        <v>460</v>
      </c>
      <c r="C1978" s="127"/>
      <c r="D1978" s="142"/>
      <c r="E1978" s="132"/>
      <c r="F1978" s="706" t="s">
        <v>461</v>
      </c>
    </row>
    <row r="1979" spans="1:6">
      <c r="A1979" s="131"/>
      <c r="B1979" s="140"/>
      <c r="C1979" s="132"/>
      <c r="D1979" s="143"/>
      <c r="E1979" s="132"/>
      <c r="F1979" s="706"/>
    </row>
    <row r="1980" spans="1:6">
      <c r="A1980" s="131" t="s">
        <v>11</v>
      </c>
      <c r="B1980" s="140" t="s">
        <v>12</v>
      </c>
      <c r="C1980" s="134">
        <f>SUM(C1981:C1985)</f>
        <v>140.06</v>
      </c>
      <c r="D1980" s="133" t="s">
        <v>72</v>
      </c>
      <c r="E1980" s="142" t="s">
        <v>9</v>
      </c>
      <c r="F1980" s="706"/>
    </row>
    <row r="1981" spans="1:6">
      <c r="A1981" s="131"/>
      <c r="B1981" s="537" t="s">
        <v>14</v>
      </c>
      <c r="C1981" s="132">
        <v>52.4</v>
      </c>
      <c r="D1981" s="143" t="s">
        <v>15</v>
      </c>
      <c r="E1981" s="132" t="s">
        <v>18</v>
      </c>
      <c r="F1981" s="706"/>
    </row>
    <row r="1982" spans="1:6">
      <c r="A1982" s="131"/>
      <c r="B1982" s="537" t="s">
        <v>47</v>
      </c>
      <c r="C1982" s="132">
        <v>23.46</v>
      </c>
      <c r="D1982" s="143" t="s">
        <v>20</v>
      </c>
      <c r="E1982" s="132" t="s">
        <v>18</v>
      </c>
      <c r="F1982" s="706"/>
    </row>
    <row r="1983" spans="1:6">
      <c r="A1983" s="131"/>
      <c r="B1983" s="537" t="s">
        <v>21</v>
      </c>
      <c r="C1983" s="132">
        <v>3.5</v>
      </c>
      <c r="D1983" s="143" t="s">
        <v>22</v>
      </c>
      <c r="E1983" s="132" t="s">
        <v>18</v>
      </c>
      <c r="F1983" s="706"/>
    </row>
    <row r="1984" spans="1:6">
      <c r="A1984" s="131"/>
      <c r="B1984" s="537" t="s">
        <v>462</v>
      </c>
      <c r="C1984" s="132">
        <v>38.200000000000003</v>
      </c>
      <c r="D1984" s="143"/>
      <c r="E1984" s="132"/>
      <c r="F1984" s="706"/>
    </row>
    <row r="1985" spans="1:6">
      <c r="A1985" s="131"/>
      <c r="B1985" s="537" t="s">
        <v>17</v>
      </c>
      <c r="C1985" s="132">
        <v>22.5</v>
      </c>
      <c r="D1985" s="143" t="s">
        <v>15</v>
      </c>
      <c r="E1985" s="132" t="s">
        <v>18</v>
      </c>
      <c r="F1985" s="706"/>
    </row>
    <row r="1986" spans="1:6">
      <c r="A1986" s="131" t="s">
        <v>29</v>
      </c>
      <c r="B1986" s="140" t="s">
        <v>30</v>
      </c>
      <c r="C1986" s="134">
        <f>SUM(C1987:C1992)</f>
        <v>659.33999999999992</v>
      </c>
      <c r="D1986" s="133" t="s">
        <v>72</v>
      </c>
      <c r="E1986" s="142" t="s">
        <v>9</v>
      </c>
      <c r="F1986" s="706"/>
    </row>
    <row r="1987" spans="1:6">
      <c r="A1987" s="131"/>
      <c r="B1987" s="537" t="s">
        <v>14</v>
      </c>
      <c r="C1987" s="132">
        <v>81.3</v>
      </c>
      <c r="D1987" s="143" t="s">
        <v>15</v>
      </c>
      <c r="E1987" s="132" t="s">
        <v>18</v>
      </c>
      <c r="F1987" s="706"/>
    </row>
    <row r="1988" spans="1:6">
      <c r="A1988" s="131"/>
      <c r="B1988" s="537" t="s">
        <v>19</v>
      </c>
      <c r="C1988" s="132">
        <v>11.5</v>
      </c>
      <c r="D1988" s="143" t="s">
        <v>15</v>
      </c>
      <c r="E1988" s="132" t="s">
        <v>18</v>
      </c>
      <c r="F1988" s="706"/>
    </row>
    <row r="1989" spans="1:6">
      <c r="A1989" s="131"/>
      <c r="B1989" s="537" t="s">
        <v>36</v>
      </c>
      <c r="C1989" s="132">
        <v>177.4</v>
      </c>
      <c r="D1989" s="143" t="s">
        <v>15</v>
      </c>
      <c r="E1989" s="132" t="s">
        <v>42</v>
      </c>
      <c r="F1989" s="706"/>
    </row>
    <row r="1990" spans="1:6">
      <c r="A1990" s="131"/>
      <c r="B1990" s="537" t="s">
        <v>21</v>
      </c>
      <c r="C1990" s="132">
        <v>3.9</v>
      </c>
      <c r="D1990" s="143" t="s">
        <v>22</v>
      </c>
      <c r="E1990" s="132" t="s">
        <v>18</v>
      </c>
      <c r="F1990" s="706"/>
    </row>
    <row r="1991" spans="1:6">
      <c r="A1991" s="131"/>
      <c r="B1991" s="537" t="s">
        <v>17</v>
      </c>
      <c r="C1991" s="132">
        <v>137.5</v>
      </c>
      <c r="D1991" s="143" t="s">
        <v>15</v>
      </c>
      <c r="E1991" s="132" t="s">
        <v>18</v>
      </c>
      <c r="F1991" s="706"/>
    </row>
    <row r="1992" spans="1:6">
      <c r="A1992" s="135"/>
      <c r="B1992" s="141" t="s">
        <v>463</v>
      </c>
      <c r="C1992" s="136">
        <v>247.74</v>
      </c>
      <c r="D1992" s="144"/>
      <c r="E1992" s="136"/>
      <c r="F1992" s="532"/>
    </row>
    <row r="1993" spans="1:6">
      <c r="A1993" s="47"/>
      <c r="B1993" s="140"/>
      <c r="C1993" s="472">
        <f>C1995+C1998</f>
        <v>621.6</v>
      </c>
      <c r="D1993" s="543"/>
      <c r="E1993" s="603"/>
      <c r="F1993" s="521"/>
    </row>
    <row r="1994" spans="1:6">
      <c r="A1994" s="47"/>
      <c r="B1994" s="139" t="s">
        <v>464</v>
      </c>
      <c r="C1994" s="24"/>
      <c r="D1994" s="541"/>
      <c r="E1994" s="603"/>
      <c r="F1994" s="635" t="s">
        <v>975</v>
      </c>
    </row>
    <row r="1995" spans="1:6">
      <c r="A1995" s="47" t="s">
        <v>11</v>
      </c>
      <c r="B1995" s="140" t="s">
        <v>465</v>
      </c>
      <c r="C1995" s="24">
        <f>SUM(C1996:C1997)</f>
        <v>120.4</v>
      </c>
      <c r="D1995" s="133" t="s">
        <v>72</v>
      </c>
      <c r="E1995" s="142" t="s">
        <v>9</v>
      </c>
      <c r="F1995" s="635"/>
    </row>
    <row r="1996" spans="1:6">
      <c r="A1996" s="47"/>
      <c r="B1996" s="537" t="s">
        <v>17</v>
      </c>
      <c r="C1996" s="541">
        <v>73.5</v>
      </c>
      <c r="D1996" s="543" t="s">
        <v>15</v>
      </c>
      <c r="E1996" s="603" t="s">
        <v>18</v>
      </c>
      <c r="F1996" s="635"/>
    </row>
    <row r="1997" spans="1:6">
      <c r="A1997" s="48"/>
      <c r="B1997" s="141" t="s">
        <v>45</v>
      </c>
      <c r="C1997" s="43">
        <v>46.9</v>
      </c>
      <c r="D1997" s="42" t="s">
        <v>15</v>
      </c>
      <c r="E1997" s="43" t="s">
        <v>42</v>
      </c>
      <c r="F1997" s="635"/>
    </row>
    <row r="1998" spans="1:6">
      <c r="A1998" s="47" t="s">
        <v>37</v>
      </c>
      <c r="B1998" s="140" t="s">
        <v>38</v>
      </c>
      <c r="C1998" s="24">
        <f>SUM(C1999:C2006)</f>
        <v>501.20000000000005</v>
      </c>
      <c r="D1998" s="133" t="s">
        <v>72</v>
      </c>
      <c r="E1998" s="142" t="s">
        <v>9</v>
      </c>
      <c r="F1998" s="635"/>
    </row>
    <row r="1999" spans="1:6">
      <c r="A1999" s="47"/>
      <c r="B1999" s="537" t="s">
        <v>21</v>
      </c>
      <c r="C1999" s="541">
        <v>10.5</v>
      </c>
      <c r="D1999" s="543" t="s">
        <v>22</v>
      </c>
      <c r="E1999" s="603" t="s">
        <v>18</v>
      </c>
      <c r="F1999" s="635"/>
    </row>
    <row r="2000" spans="1:6">
      <c r="A2000" s="47"/>
      <c r="B2000" s="537" t="s">
        <v>17</v>
      </c>
      <c r="C2000" s="541">
        <v>93.4</v>
      </c>
      <c r="D2000" s="543" t="s">
        <v>15</v>
      </c>
      <c r="E2000" s="603" t="s">
        <v>18</v>
      </c>
      <c r="F2000" s="635"/>
    </row>
    <row r="2001" spans="1:6">
      <c r="A2001" s="47"/>
      <c r="B2001" s="537" t="s">
        <v>39</v>
      </c>
      <c r="C2001" s="541">
        <v>52.6</v>
      </c>
      <c r="D2001" s="543" t="s">
        <v>27</v>
      </c>
      <c r="E2001" s="603" t="s">
        <v>18</v>
      </c>
      <c r="F2001" s="635"/>
    </row>
    <row r="2002" spans="1:6">
      <c r="A2002" s="47"/>
      <c r="B2002" s="537" t="s">
        <v>463</v>
      </c>
      <c r="C2002" s="541">
        <v>176.5</v>
      </c>
      <c r="D2002" s="543"/>
      <c r="E2002" s="603"/>
      <c r="F2002" s="635"/>
    </row>
    <row r="2003" spans="1:6">
      <c r="A2003" s="47"/>
      <c r="B2003" s="537" t="s">
        <v>462</v>
      </c>
      <c r="C2003" s="541">
        <v>12.3</v>
      </c>
      <c r="D2003" s="543"/>
      <c r="E2003" s="603"/>
      <c r="F2003" s="635"/>
    </row>
    <row r="2004" spans="1:6">
      <c r="A2004" s="47"/>
      <c r="B2004" s="537" t="s">
        <v>466</v>
      </c>
      <c r="C2004" s="541">
        <v>67.8</v>
      </c>
      <c r="D2004" s="543" t="s">
        <v>15</v>
      </c>
      <c r="E2004" s="603" t="s">
        <v>42</v>
      </c>
      <c r="F2004" s="635"/>
    </row>
    <row r="2005" spans="1:6" ht="25.5">
      <c r="A2005" s="47"/>
      <c r="B2005" s="537" t="s">
        <v>467</v>
      </c>
      <c r="C2005" s="541">
        <v>68.540000000000006</v>
      </c>
      <c r="D2005" s="543" t="s">
        <v>15</v>
      </c>
      <c r="E2005" s="603" t="s">
        <v>18</v>
      </c>
      <c r="F2005" s="635"/>
    </row>
    <row r="2006" spans="1:6">
      <c r="A2006" s="48"/>
      <c r="B2006" s="141" t="s">
        <v>76</v>
      </c>
      <c r="C2006" s="43">
        <v>19.559999999999999</v>
      </c>
      <c r="D2006" s="42" t="s">
        <v>20</v>
      </c>
      <c r="E2006" s="43" t="s">
        <v>18</v>
      </c>
      <c r="F2006" s="636"/>
    </row>
    <row r="2007" spans="1:6">
      <c r="A2007" s="545"/>
      <c r="B2007" s="289"/>
      <c r="C2007" s="575">
        <f>C1977+C1993</f>
        <v>1421</v>
      </c>
      <c r="D2007" s="19"/>
      <c r="E2007" s="600"/>
      <c r="F2007" s="523"/>
    </row>
    <row r="2008" spans="1:6">
      <c r="A2008" s="649" t="s">
        <v>468</v>
      </c>
      <c r="B2008" s="650"/>
      <c r="C2008" s="650"/>
      <c r="D2008" s="650"/>
      <c r="E2008" s="650"/>
      <c r="F2008" s="651"/>
    </row>
    <row r="2009" spans="1:6">
      <c r="A2009" s="128"/>
      <c r="B2009" s="138"/>
      <c r="C2009" s="445">
        <v>735.6</v>
      </c>
      <c r="D2009" s="138"/>
      <c r="E2009" s="129"/>
      <c r="F2009" s="138"/>
    </row>
    <row r="2010" spans="1:6">
      <c r="A2010" s="131">
        <v>1</v>
      </c>
      <c r="B2010" s="139" t="s">
        <v>469</v>
      </c>
      <c r="C2010" s="134"/>
      <c r="D2010" s="142"/>
      <c r="E2010" s="132"/>
      <c r="F2010" s="706" t="s">
        <v>470</v>
      </c>
    </row>
    <row r="2011" spans="1:6">
      <c r="A2011" s="131" t="s">
        <v>11</v>
      </c>
      <c r="B2011" s="140" t="s">
        <v>471</v>
      </c>
      <c r="C2011" s="134">
        <f>SUM(C2012:C2020)-C2014</f>
        <v>367.10000000000008</v>
      </c>
      <c r="D2011" s="143" t="s">
        <v>72</v>
      </c>
      <c r="E2011" s="132" t="s">
        <v>9</v>
      </c>
      <c r="F2011" s="737"/>
    </row>
    <row r="2012" spans="1:6">
      <c r="A2012" s="131"/>
      <c r="B2012" s="537" t="s">
        <v>17</v>
      </c>
      <c r="C2012" s="132">
        <f>26+13+11.6+10.2+10.2+32.8+26.3+11.6+3.9+3.3</f>
        <v>148.9</v>
      </c>
      <c r="D2012" s="143" t="s">
        <v>15</v>
      </c>
      <c r="E2012" s="132" t="s">
        <v>18</v>
      </c>
      <c r="F2012" s="737"/>
    </row>
    <row r="2013" spans="1:6">
      <c r="A2013" s="131"/>
      <c r="B2013" s="537" t="s">
        <v>71</v>
      </c>
      <c r="C2013" s="132">
        <f>67.4</f>
        <v>67.400000000000006</v>
      </c>
      <c r="D2013" s="143" t="s">
        <v>15</v>
      </c>
      <c r="E2013" s="132" t="s">
        <v>18</v>
      </c>
      <c r="F2013" s="737"/>
    </row>
    <row r="2014" spans="1:6">
      <c r="A2014" s="131"/>
      <c r="B2014" s="537"/>
      <c r="C2014" s="132"/>
      <c r="D2014" s="143" t="s">
        <v>27</v>
      </c>
      <c r="E2014" s="132" t="s">
        <v>472</v>
      </c>
      <c r="F2014" s="737"/>
    </row>
    <row r="2015" spans="1:6">
      <c r="A2015" s="131"/>
      <c r="B2015" s="537" t="s">
        <v>473</v>
      </c>
      <c r="C2015" s="132">
        <f>55.1+6</f>
        <v>61.1</v>
      </c>
      <c r="D2015" s="143" t="s">
        <v>15</v>
      </c>
      <c r="E2015" s="132" t="s">
        <v>18</v>
      </c>
      <c r="F2015" s="737"/>
    </row>
    <row r="2016" spans="1:6">
      <c r="A2016" s="131"/>
      <c r="B2016" s="537"/>
      <c r="C2016" s="132"/>
      <c r="D2016" s="143" t="s">
        <v>15</v>
      </c>
      <c r="E2016" s="132" t="s">
        <v>472</v>
      </c>
      <c r="F2016" s="737"/>
    </row>
    <row r="2017" spans="1:6">
      <c r="A2017" s="131"/>
      <c r="B2017" s="537" t="s">
        <v>474</v>
      </c>
      <c r="C2017" s="132">
        <f>47.6+11.3</f>
        <v>58.900000000000006</v>
      </c>
      <c r="D2017" s="143" t="s">
        <v>15</v>
      </c>
      <c r="E2017" s="132" t="s">
        <v>18</v>
      </c>
      <c r="F2017" s="737"/>
    </row>
    <row r="2018" spans="1:6">
      <c r="A2018" s="131"/>
      <c r="B2018" s="537" t="s">
        <v>21</v>
      </c>
      <c r="C2018" s="132">
        <v>12</v>
      </c>
      <c r="D2018" s="143" t="s">
        <v>22</v>
      </c>
      <c r="E2018" s="132" t="s">
        <v>18</v>
      </c>
      <c r="F2018" s="737"/>
    </row>
    <row r="2019" spans="1:6">
      <c r="A2019" s="131"/>
      <c r="B2019" s="537"/>
      <c r="C2019" s="132"/>
      <c r="D2019" s="143" t="s">
        <v>67</v>
      </c>
      <c r="E2019" s="132" t="s">
        <v>18</v>
      </c>
      <c r="F2019" s="737"/>
    </row>
    <row r="2020" spans="1:6">
      <c r="A2020" s="131"/>
      <c r="B2020" s="537" t="s">
        <v>47</v>
      </c>
      <c r="C2020" s="132">
        <v>18.8</v>
      </c>
      <c r="D2020" s="143" t="s">
        <v>20</v>
      </c>
      <c r="E2020" s="132" t="s">
        <v>18</v>
      </c>
      <c r="F2020" s="737"/>
    </row>
    <row r="2021" spans="1:6">
      <c r="A2021" s="131" t="s">
        <v>29</v>
      </c>
      <c r="B2021" s="140" t="s">
        <v>169</v>
      </c>
      <c r="C2021" s="134">
        <f>SUM(C2022:C2023)</f>
        <v>368.5</v>
      </c>
      <c r="D2021" s="143" t="s">
        <v>13</v>
      </c>
      <c r="E2021" s="132" t="s">
        <v>9</v>
      </c>
      <c r="F2021" s="737"/>
    </row>
    <row r="2022" spans="1:6">
      <c r="A2022" s="131"/>
      <c r="B2022" s="537" t="s">
        <v>36</v>
      </c>
      <c r="C2022" s="132">
        <v>311.89999999999998</v>
      </c>
      <c r="D2022" s="143" t="s">
        <v>27</v>
      </c>
      <c r="E2022" s="132" t="s">
        <v>68</v>
      </c>
      <c r="F2022" s="737"/>
    </row>
    <row r="2023" spans="1:6" ht="14.25">
      <c r="A2023" s="135"/>
      <c r="B2023" s="141" t="s">
        <v>71</v>
      </c>
      <c r="C2023" s="136">
        <v>56.6</v>
      </c>
      <c r="D2023" s="144" t="s">
        <v>27</v>
      </c>
      <c r="E2023" s="136" t="s">
        <v>150</v>
      </c>
      <c r="F2023" s="525"/>
    </row>
    <row r="2024" spans="1:6">
      <c r="A2024" s="46"/>
      <c r="B2024" s="281"/>
      <c r="C2024" s="451">
        <v>321.3</v>
      </c>
      <c r="D2024" s="41"/>
      <c r="E2024" s="602"/>
      <c r="F2024" s="745" t="s">
        <v>475</v>
      </c>
    </row>
    <row r="2025" spans="1:6">
      <c r="A2025" s="47" t="s">
        <v>29</v>
      </c>
      <c r="B2025" s="140" t="s">
        <v>169</v>
      </c>
      <c r="C2025" s="18">
        <f>SUM(C2026:C2027)</f>
        <v>321.3</v>
      </c>
      <c r="D2025" s="543" t="s">
        <v>13</v>
      </c>
      <c r="E2025" s="603" t="s">
        <v>9</v>
      </c>
      <c r="F2025" s="738"/>
    </row>
    <row r="2026" spans="1:6">
      <c r="A2026" s="47"/>
      <c r="B2026" s="537" t="s">
        <v>476</v>
      </c>
      <c r="C2026" s="541">
        <v>291.8</v>
      </c>
      <c r="D2026" s="543" t="s">
        <v>27</v>
      </c>
      <c r="E2026" s="603" t="s">
        <v>178</v>
      </c>
      <c r="F2026" s="738"/>
    </row>
    <row r="2027" spans="1:6">
      <c r="A2027" s="47"/>
      <c r="B2027" s="266" t="s">
        <v>40</v>
      </c>
      <c r="C2027" s="538">
        <f>16+9.4+4.1</f>
        <v>29.5</v>
      </c>
      <c r="D2027" s="543" t="s">
        <v>15</v>
      </c>
      <c r="E2027" s="32" t="s">
        <v>42</v>
      </c>
      <c r="F2027" s="738"/>
    </row>
    <row r="2028" spans="1:6">
      <c r="A2028" s="9"/>
      <c r="B2028" s="281"/>
      <c r="C2028" s="452">
        <f>C2038+C2029</f>
        <v>1047.1500000000001</v>
      </c>
      <c r="D2028" s="41"/>
      <c r="E2028" s="17"/>
      <c r="F2028" s="746" t="s">
        <v>477</v>
      </c>
    </row>
    <row r="2029" spans="1:6">
      <c r="A2029" s="545" t="s">
        <v>37</v>
      </c>
      <c r="B2029" s="140" t="s">
        <v>12</v>
      </c>
      <c r="C2029" s="546">
        <f>SUM(C2030:C2037)</f>
        <v>857.85</v>
      </c>
      <c r="D2029" s="133" t="s">
        <v>72</v>
      </c>
      <c r="E2029" s="142" t="s">
        <v>9</v>
      </c>
      <c r="F2029" s="738"/>
    </row>
    <row r="2030" spans="1:6">
      <c r="A2030" s="545"/>
      <c r="B2030" s="537" t="s">
        <v>17</v>
      </c>
      <c r="C2030" s="544">
        <f>34.8+36.5+35.1+34.6+32.9+15.4+15.3+15.5+32.3+32.4+32.1+15.4+17.4+16.3</f>
        <v>366</v>
      </c>
      <c r="D2030" s="543" t="s">
        <v>15</v>
      </c>
      <c r="E2030" s="600" t="s">
        <v>18</v>
      </c>
      <c r="F2030" s="738"/>
    </row>
    <row r="2031" spans="1:6">
      <c r="A2031" s="545"/>
      <c r="B2031" s="537" t="s">
        <v>130</v>
      </c>
      <c r="C2031" s="544">
        <v>18.5</v>
      </c>
      <c r="D2031" s="543" t="s">
        <v>15</v>
      </c>
      <c r="E2031" s="600" t="s">
        <v>18</v>
      </c>
      <c r="F2031" s="738"/>
    </row>
    <row r="2032" spans="1:6">
      <c r="A2032" s="545"/>
      <c r="B2032" s="537" t="s">
        <v>39</v>
      </c>
      <c r="C2032" s="544">
        <f>15.5+101.5+17.3+44.85</f>
        <v>179.15</v>
      </c>
      <c r="D2032" s="543" t="s">
        <v>15</v>
      </c>
      <c r="E2032" s="600" t="s">
        <v>18</v>
      </c>
      <c r="F2032" s="738"/>
    </row>
    <row r="2033" spans="1:6">
      <c r="A2033" s="545"/>
      <c r="B2033" s="537" t="s">
        <v>36</v>
      </c>
      <c r="C2033" s="544">
        <f>85.9+85.1+18+7.9+11.4</f>
        <v>208.3</v>
      </c>
      <c r="D2033" s="543" t="s">
        <v>148</v>
      </c>
      <c r="E2033" s="600" t="s">
        <v>42</v>
      </c>
      <c r="F2033" s="738"/>
    </row>
    <row r="2034" spans="1:6">
      <c r="A2034" s="545"/>
      <c r="B2034" s="537" t="s">
        <v>36</v>
      </c>
      <c r="C2034" s="544">
        <v>16.899999999999999</v>
      </c>
      <c r="D2034" s="543" t="s">
        <v>27</v>
      </c>
      <c r="E2034" s="600" t="s">
        <v>28</v>
      </c>
      <c r="F2034" s="738"/>
    </row>
    <row r="2035" spans="1:6">
      <c r="A2035" s="545"/>
      <c r="B2035" s="537" t="s">
        <v>21</v>
      </c>
      <c r="C2035" s="544">
        <f>5.5+3.8+2.8+1.5</f>
        <v>13.600000000000001</v>
      </c>
      <c r="D2035" s="543" t="s">
        <v>22</v>
      </c>
      <c r="E2035" s="600" t="s">
        <v>18</v>
      </c>
      <c r="F2035" s="738"/>
    </row>
    <row r="2036" spans="1:6">
      <c r="A2036" s="545"/>
      <c r="B2036" s="537" t="s">
        <v>40</v>
      </c>
      <c r="C2036" s="544">
        <v>29.5</v>
      </c>
      <c r="D2036" s="543" t="s">
        <v>67</v>
      </c>
      <c r="E2036" s="600" t="s">
        <v>366</v>
      </c>
      <c r="F2036" s="738"/>
    </row>
    <row r="2037" spans="1:6">
      <c r="A2037" s="545"/>
      <c r="B2037" s="537" t="s">
        <v>47</v>
      </c>
      <c r="C2037" s="544">
        <v>25.9</v>
      </c>
      <c r="D2037" s="543" t="s">
        <v>20</v>
      </c>
      <c r="E2037" s="600" t="s">
        <v>18</v>
      </c>
      <c r="F2037" s="738"/>
    </row>
    <row r="2038" spans="1:6">
      <c r="A2038" s="545" t="s">
        <v>29</v>
      </c>
      <c r="B2038" s="140" t="s">
        <v>169</v>
      </c>
      <c r="C2038" s="546">
        <f>SUM(C2039:C2043)</f>
        <v>189.3</v>
      </c>
      <c r="D2038" s="543" t="s">
        <v>13</v>
      </c>
      <c r="E2038" s="600" t="s">
        <v>9</v>
      </c>
      <c r="F2038" s="738"/>
    </row>
    <row r="2039" spans="1:6">
      <c r="A2039" s="545"/>
      <c r="B2039" s="537" t="s">
        <v>17</v>
      </c>
      <c r="C2039" s="544">
        <v>34</v>
      </c>
      <c r="D2039" s="543" t="s">
        <v>15</v>
      </c>
      <c r="E2039" s="600" t="s">
        <v>18</v>
      </c>
      <c r="F2039" s="738"/>
    </row>
    <row r="2040" spans="1:6">
      <c r="A2040" s="545"/>
      <c r="B2040" s="537" t="s">
        <v>36</v>
      </c>
      <c r="C2040" s="544">
        <f>110.4+18.4</f>
        <v>128.80000000000001</v>
      </c>
      <c r="D2040" s="543" t="s">
        <v>15</v>
      </c>
      <c r="E2040" s="600" t="s">
        <v>42</v>
      </c>
      <c r="F2040" s="738"/>
    </row>
    <row r="2041" spans="1:6">
      <c r="A2041" s="545"/>
      <c r="B2041" s="537" t="s">
        <v>21</v>
      </c>
      <c r="C2041" s="544">
        <f>4.3+4.3+5</f>
        <v>13.6</v>
      </c>
      <c r="D2041" s="543" t="s">
        <v>22</v>
      </c>
      <c r="E2041" s="600" t="s">
        <v>18</v>
      </c>
      <c r="F2041" s="738"/>
    </row>
    <row r="2042" spans="1:6">
      <c r="A2042" s="545"/>
      <c r="B2042" s="537"/>
      <c r="C2042" s="544"/>
      <c r="D2042" s="543" t="s">
        <v>67</v>
      </c>
      <c r="E2042" s="600" t="s">
        <v>68</v>
      </c>
      <c r="F2042" s="738"/>
    </row>
    <row r="2043" spans="1:6">
      <c r="A2043" s="545"/>
      <c r="B2043" s="537" t="s">
        <v>47</v>
      </c>
      <c r="C2043" s="544">
        <f>5.6+7.3</f>
        <v>12.899999999999999</v>
      </c>
      <c r="D2043" s="543" t="s">
        <v>20</v>
      </c>
      <c r="E2043" s="600" t="s">
        <v>18</v>
      </c>
      <c r="F2043" s="744"/>
    </row>
    <row r="2044" spans="1:6">
      <c r="A2044" s="9"/>
      <c r="B2044" s="281"/>
      <c r="C2044" s="452">
        <f>C2054+C2045</f>
        <v>1037.5999999999999</v>
      </c>
      <c r="D2044" s="41"/>
      <c r="E2044" s="7"/>
      <c r="F2044" s="523"/>
    </row>
    <row r="2045" spans="1:6">
      <c r="A2045" s="545" t="s">
        <v>81</v>
      </c>
      <c r="B2045" s="140" t="s">
        <v>30</v>
      </c>
      <c r="C2045" s="546">
        <f>SUM(C2046:C2053)</f>
        <v>854.1</v>
      </c>
      <c r="D2045" s="133" t="s">
        <v>72</v>
      </c>
      <c r="E2045" s="142" t="s">
        <v>9</v>
      </c>
      <c r="F2045" s="523"/>
    </row>
    <row r="2046" spans="1:6">
      <c r="A2046" s="545"/>
      <c r="B2046" s="537" t="s">
        <v>17</v>
      </c>
      <c r="C2046" s="544">
        <f>36.1+16.6+34.7+16.1+19.1</f>
        <v>122.6</v>
      </c>
      <c r="D2046" s="543" t="s">
        <v>15</v>
      </c>
      <c r="E2046" s="32" t="s">
        <v>18</v>
      </c>
      <c r="F2046" s="523"/>
    </row>
    <row r="2047" spans="1:6">
      <c r="A2047" s="545"/>
      <c r="B2047" s="537" t="s">
        <v>130</v>
      </c>
      <c r="C2047" s="544">
        <f>24.1</f>
        <v>24.1</v>
      </c>
      <c r="D2047" s="543" t="s">
        <v>15</v>
      </c>
      <c r="E2047" s="32" t="s">
        <v>18</v>
      </c>
      <c r="F2047" s="523"/>
    </row>
    <row r="2048" spans="1:6">
      <c r="A2048" s="545"/>
      <c r="B2048" s="537" t="s">
        <v>39</v>
      </c>
      <c r="C2048" s="544">
        <f>4.7+108.9+17.8+2.5</f>
        <v>133.9</v>
      </c>
      <c r="D2048" s="543" t="s">
        <v>15</v>
      </c>
      <c r="E2048" s="32" t="s">
        <v>18</v>
      </c>
      <c r="F2048" s="523"/>
    </row>
    <row r="2049" spans="1:6">
      <c r="A2049" s="545"/>
      <c r="B2049" s="537" t="s">
        <v>36</v>
      </c>
      <c r="C2049" s="544">
        <f>179.1+161.6+95.2</f>
        <v>435.9</v>
      </c>
      <c r="D2049" s="543" t="s">
        <v>148</v>
      </c>
      <c r="E2049" s="32" t="s">
        <v>18</v>
      </c>
      <c r="F2049" s="523"/>
    </row>
    <row r="2050" spans="1:6">
      <c r="A2050" s="545"/>
      <c r="B2050" s="537" t="s">
        <v>36</v>
      </c>
      <c r="C2050" s="544">
        <f>37.8+17.1+4.7+10.3+16.4+13.6+2.3</f>
        <v>102.2</v>
      </c>
      <c r="D2050" s="543" t="s">
        <v>27</v>
      </c>
      <c r="E2050" s="32" t="s">
        <v>28</v>
      </c>
      <c r="F2050" s="523"/>
    </row>
    <row r="2051" spans="1:6">
      <c r="A2051" s="545"/>
      <c r="B2051" s="537" t="s">
        <v>21</v>
      </c>
      <c r="C2051" s="544">
        <f>3.5+3.3+1.3+1.4</f>
        <v>9.5</v>
      </c>
      <c r="D2051" s="543" t="s">
        <v>22</v>
      </c>
      <c r="E2051" s="32" t="s">
        <v>18</v>
      </c>
      <c r="F2051" s="523"/>
    </row>
    <row r="2052" spans="1:6">
      <c r="A2052" s="545"/>
      <c r="B2052" s="537"/>
      <c r="C2052" s="544"/>
      <c r="D2052" s="543" t="s">
        <v>67</v>
      </c>
      <c r="E2052" s="32" t="s">
        <v>68</v>
      </c>
      <c r="F2052" s="523"/>
    </row>
    <row r="2053" spans="1:6">
      <c r="A2053" s="545"/>
      <c r="B2053" s="537" t="s">
        <v>47</v>
      </c>
      <c r="C2053" s="544">
        <f>12.9+13</f>
        <v>25.9</v>
      </c>
      <c r="D2053" s="543" t="s">
        <v>20</v>
      </c>
      <c r="E2053" s="32" t="s">
        <v>18</v>
      </c>
      <c r="F2053" s="523" t="s">
        <v>478</v>
      </c>
    </row>
    <row r="2054" spans="1:6">
      <c r="A2054" s="545" t="s">
        <v>29</v>
      </c>
      <c r="B2054" s="140" t="s">
        <v>169</v>
      </c>
      <c r="C2054" s="546">
        <f>SUM(C2055:C2059)</f>
        <v>183.5</v>
      </c>
      <c r="D2054" s="133" t="s">
        <v>72</v>
      </c>
      <c r="E2054" s="142" t="s">
        <v>9</v>
      </c>
      <c r="F2054" s="523"/>
    </row>
    <row r="2055" spans="1:6">
      <c r="A2055" s="545"/>
      <c r="B2055" s="537" t="s">
        <v>17</v>
      </c>
      <c r="C2055" s="544">
        <v>7.9</v>
      </c>
      <c r="D2055" s="543" t="s">
        <v>15</v>
      </c>
      <c r="E2055" s="32" t="s">
        <v>18</v>
      </c>
      <c r="F2055" s="523"/>
    </row>
    <row r="2056" spans="1:6">
      <c r="A2056" s="545"/>
      <c r="B2056" s="537" t="s">
        <v>130</v>
      </c>
      <c r="C2056" s="544">
        <f>7.5</f>
        <v>7.5</v>
      </c>
      <c r="D2056" s="543" t="s">
        <v>15</v>
      </c>
      <c r="E2056" s="32" t="s">
        <v>18</v>
      </c>
      <c r="F2056" s="523"/>
    </row>
    <row r="2057" spans="1:6">
      <c r="A2057" s="545"/>
      <c r="B2057" s="537" t="s">
        <v>71</v>
      </c>
      <c r="C2057" s="544">
        <f>20+15+32+6.4</f>
        <v>73.400000000000006</v>
      </c>
      <c r="D2057" s="543" t="s">
        <v>27</v>
      </c>
      <c r="E2057" s="32" t="s">
        <v>42</v>
      </c>
      <c r="F2057" s="523"/>
    </row>
    <row r="2058" spans="1:6">
      <c r="A2058" s="545"/>
      <c r="B2058" s="537" t="s">
        <v>71</v>
      </c>
      <c r="C2058" s="544">
        <f>29.8+8.3</f>
        <v>38.1</v>
      </c>
      <c r="D2058" s="543" t="s">
        <v>27</v>
      </c>
      <c r="E2058" s="32" t="s">
        <v>18</v>
      </c>
      <c r="F2058" s="523"/>
    </row>
    <row r="2059" spans="1:6">
      <c r="A2059" s="545"/>
      <c r="B2059" s="537" t="s">
        <v>45</v>
      </c>
      <c r="C2059" s="544">
        <v>56.6</v>
      </c>
      <c r="D2059" s="543" t="s">
        <v>27</v>
      </c>
      <c r="E2059" s="32" t="s">
        <v>42</v>
      </c>
      <c r="F2059" s="530"/>
    </row>
    <row r="2060" spans="1:6">
      <c r="A2060" s="9"/>
      <c r="B2060" s="281"/>
      <c r="C2060" s="452">
        <f>C2071+C2061+C2076</f>
        <v>1201</v>
      </c>
      <c r="D2060" s="41"/>
      <c r="E2060" s="7"/>
      <c r="F2060" s="523"/>
    </row>
    <row r="2061" spans="1:6">
      <c r="A2061" s="545" t="s">
        <v>83</v>
      </c>
      <c r="B2061" s="140" t="s">
        <v>38</v>
      </c>
      <c r="C2061" s="546">
        <f>SUM(C2062:C2070)</f>
        <v>855.7</v>
      </c>
      <c r="D2061" s="133" t="s">
        <v>72</v>
      </c>
      <c r="E2061" s="142" t="s">
        <v>9</v>
      </c>
      <c r="F2061" s="562"/>
    </row>
    <row r="2062" spans="1:6">
      <c r="A2062" s="545"/>
      <c r="B2062" s="537" t="s">
        <v>17</v>
      </c>
      <c r="C2062" s="544">
        <f>119.4+37.3</f>
        <v>156.69999999999999</v>
      </c>
      <c r="D2062" s="543" t="s">
        <v>15</v>
      </c>
      <c r="E2062" s="600" t="s">
        <v>18</v>
      </c>
      <c r="F2062" s="563"/>
    </row>
    <row r="2063" spans="1:6">
      <c r="A2063" s="545"/>
      <c r="B2063" s="537" t="s">
        <v>17</v>
      </c>
      <c r="C2063" s="544">
        <f>51.9+60.7</f>
        <v>112.6</v>
      </c>
      <c r="D2063" s="543" t="s">
        <v>15</v>
      </c>
      <c r="E2063" s="600" t="s">
        <v>42</v>
      </c>
      <c r="F2063" s="563"/>
    </row>
    <row r="2064" spans="1:6">
      <c r="A2064" s="545"/>
      <c r="B2064" s="537" t="s">
        <v>75</v>
      </c>
      <c r="C2064" s="544">
        <f>114.5</f>
        <v>114.5</v>
      </c>
      <c r="D2064" s="543" t="s">
        <v>15</v>
      </c>
      <c r="E2064" s="600" t="s">
        <v>18</v>
      </c>
      <c r="F2064" s="563"/>
    </row>
    <row r="2065" spans="1:6">
      <c r="A2065" s="545"/>
      <c r="B2065" s="537" t="s">
        <v>39</v>
      </c>
      <c r="C2065" s="544">
        <f>14.9+60+20.2+15.5</f>
        <v>110.60000000000001</v>
      </c>
      <c r="D2065" s="543" t="s">
        <v>15</v>
      </c>
      <c r="E2065" s="600" t="s">
        <v>18</v>
      </c>
      <c r="F2065" s="563"/>
    </row>
    <row r="2066" spans="1:6">
      <c r="A2066" s="545"/>
      <c r="B2066" s="537" t="s">
        <v>36</v>
      </c>
      <c r="C2066" s="544">
        <v>253.1</v>
      </c>
      <c r="D2066" s="543" t="s">
        <v>148</v>
      </c>
      <c r="E2066" s="600" t="s">
        <v>42</v>
      </c>
      <c r="F2066" s="563"/>
    </row>
    <row r="2067" spans="1:6">
      <c r="A2067" s="545"/>
      <c r="B2067" s="537" t="s">
        <v>36</v>
      </c>
      <c r="C2067" s="544">
        <f>19.1+30.4+5.8+13.8</f>
        <v>69.099999999999994</v>
      </c>
      <c r="D2067" s="543" t="s">
        <v>27</v>
      </c>
      <c r="E2067" s="600" t="s">
        <v>28</v>
      </c>
      <c r="F2067" s="563"/>
    </row>
    <row r="2068" spans="1:6">
      <c r="A2068" s="545"/>
      <c r="B2068" s="537" t="s">
        <v>21</v>
      </c>
      <c r="C2068" s="544">
        <f>2.4+2.5+8.2</f>
        <v>13.1</v>
      </c>
      <c r="D2068" s="543" t="s">
        <v>22</v>
      </c>
      <c r="E2068" s="600" t="s">
        <v>18</v>
      </c>
      <c r="F2068" s="563"/>
    </row>
    <row r="2069" spans="1:6">
      <c r="A2069" s="545"/>
      <c r="B2069" s="537"/>
      <c r="C2069" s="544"/>
      <c r="D2069" s="543" t="s">
        <v>67</v>
      </c>
      <c r="E2069" s="600" t="s">
        <v>68</v>
      </c>
      <c r="F2069" s="563"/>
    </row>
    <row r="2070" spans="1:6">
      <c r="A2070" s="545"/>
      <c r="B2070" s="537" t="s">
        <v>47</v>
      </c>
      <c r="C2070" s="544">
        <f>12.8+13.2</f>
        <v>26</v>
      </c>
      <c r="D2070" s="543" t="s">
        <v>20</v>
      </c>
      <c r="E2070" s="600" t="s">
        <v>18</v>
      </c>
      <c r="F2070" s="563" t="s">
        <v>479</v>
      </c>
    </row>
    <row r="2071" spans="1:6">
      <c r="A2071" s="545" t="s">
        <v>29</v>
      </c>
      <c r="B2071" s="140" t="s">
        <v>169</v>
      </c>
      <c r="C2071" s="546">
        <f>SUM(C2072:C2073)</f>
        <v>75.3</v>
      </c>
      <c r="D2071" s="543" t="s">
        <v>13</v>
      </c>
      <c r="E2071" s="600" t="s">
        <v>9</v>
      </c>
      <c r="F2071" s="563"/>
    </row>
    <row r="2072" spans="1:6">
      <c r="A2072" s="545"/>
      <c r="B2072" s="537" t="s">
        <v>39</v>
      </c>
      <c r="C2072" s="544">
        <f>61+0.7</f>
        <v>61.7</v>
      </c>
      <c r="D2072" s="543" t="s">
        <v>27</v>
      </c>
      <c r="E2072" s="600" t="s">
        <v>18</v>
      </c>
      <c r="F2072" s="563"/>
    </row>
    <row r="2073" spans="1:6">
      <c r="A2073" s="545"/>
      <c r="B2073" s="537" t="s">
        <v>21</v>
      </c>
      <c r="C2073" s="544">
        <v>13.6</v>
      </c>
      <c r="D2073" s="543" t="s">
        <v>22</v>
      </c>
      <c r="E2073" s="600" t="s">
        <v>18</v>
      </c>
      <c r="F2073" s="563"/>
    </row>
    <row r="2074" spans="1:6">
      <c r="A2074" s="545">
        <v>2</v>
      </c>
      <c r="B2074" s="139" t="s">
        <v>480</v>
      </c>
      <c r="C2074" s="546">
        <f>C2076</f>
        <v>270</v>
      </c>
      <c r="D2074" s="541">
        <v>6</v>
      </c>
      <c r="E2074" s="600" t="s">
        <v>9</v>
      </c>
      <c r="F2074" s="563"/>
    </row>
    <row r="2075" spans="1:6">
      <c r="A2075" s="545"/>
      <c r="B2075" s="140"/>
      <c r="C2075" s="544"/>
      <c r="D2075" s="543"/>
      <c r="E2075" s="600"/>
      <c r="F2075" s="563"/>
    </row>
    <row r="2076" spans="1:6">
      <c r="A2076" s="545" t="s">
        <v>11</v>
      </c>
      <c r="B2076" s="140"/>
      <c r="C2076" s="546">
        <f>SUM(C2077:C2085)</f>
        <v>270</v>
      </c>
      <c r="D2076" s="133" t="s">
        <v>72</v>
      </c>
      <c r="E2076" s="142" t="s">
        <v>9</v>
      </c>
      <c r="F2076" s="563"/>
    </row>
    <row r="2077" spans="1:6">
      <c r="A2077" s="545"/>
      <c r="B2077" s="537" t="s">
        <v>17</v>
      </c>
      <c r="C2077" s="544">
        <f>11.2+25.3</f>
        <v>36.5</v>
      </c>
      <c r="D2077" s="543" t="s">
        <v>15</v>
      </c>
      <c r="E2077" s="600" t="s">
        <v>68</v>
      </c>
      <c r="F2077" s="563"/>
    </row>
    <row r="2078" spans="1:6">
      <c r="A2078" s="545"/>
      <c r="B2078" s="537" t="s">
        <v>130</v>
      </c>
      <c r="C2078" s="544">
        <f>4.2+9.2</f>
        <v>13.399999999999999</v>
      </c>
      <c r="D2078" s="543" t="s">
        <v>15</v>
      </c>
      <c r="E2078" s="600" t="s">
        <v>68</v>
      </c>
      <c r="F2078" s="563"/>
    </row>
    <row r="2079" spans="1:6">
      <c r="A2079" s="545"/>
      <c r="B2079" s="537" t="s">
        <v>39</v>
      </c>
      <c r="C2079" s="544">
        <f>17.3+15.8</f>
        <v>33.1</v>
      </c>
      <c r="D2079" s="543" t="s">
        <v>15</v>
      </c>
      <c r="E2079" s="600" t="s">
        <v>68</v>
      </c>
      <c r="F2079" s="563"/>
    </row>
    <row r="2080" spans="1:6">
      <c r="A2080" s="545"/>
      <c r="B2080" s="537" t="s">
        <v>481</v>
      </c>
      <c r="C2080" s="544">
        <v>35.799999999999997</v>
      </c>
      <c r="D2080" s="543" t="s">
        <v>148</v>
      </c>
      <c r="E2080" s="600" t="s">
        <v>68</v>
      </c>
      <c r="F2080" s="563"/>
    </row>
    <row r="2081" spans="1:10">
      <c r="A2081" s="545"/>
      <c r="B2081" s="537" t="s">
        <v>36</v>
      </c>
      <c r="C2081" s="544">
        <v>14.6</v>
      </c>
      <c r="D2081" s="543" t="s">
        <v>27</v>
      </c>
      <c r="E2081" s="600" t="s">
        <v>28</v>
      </c>
      <c r="F2081" s="563"/>
    </row>
    <row r="2082" spans="1:10">
      <c r="A2082" s="545"/>
      <c r="B2082" s="537" t="s">
        <v>45</v>
      </c>
      <c r="C2082" s="544">
        <v>97.8</v>
      </c>
      <c r="D2082" s="543" t="s">
        <v>27</v>
      </c>
      <c r="E2082" s="600" t="s">
        <v>42</v>
      </c>
      <c r="F2082" s="563"/>
    </row>
    <row r="2083" spans="1:10">
      <c r="A2083" s="545"/>
      <c r="B2083" s="537" t="s">
        <v>482</v>
      </c>
      <c r="C2083" s="544">
        <v>35.200000000000003</v>
      </c>
      <c r="D2083" s="543" t="s">
        <v>27</v>
      </c>
      <c r="E2083" s="600" t="s">
        <v>42</v>
      </c>
      <c r="F2083" s="563"/>
    </row>
    <row r="2084" spans="1:10">
      <c r="A2084" s="545"/>
      <c r="B2084" s="537" t="s">
        <v>21</v>
      </c>
      <c r="C2084" s="544">
        <f>1.9+1.7</f>
        <v>3.5999999999999996</v>
      </c>
      <c r="D2084" s="543" t="s">
        <v>22</v>
      </c>
      <c r="E2084" s="600" t="s">
        <v>68</v>
      </c>
      <c r="F2084" s="563"/>
    </row>
    <row r="2085" spans="1:10">
      <c r="A2085" s="13"/>
      <c r="B2085" s="141"/>
      <c r="C2085" s="22"/>
      <c r="D2085" s="42" t="s">
        <v>67</v>
      </c>
      <c r="E2085" s="22" t="s">
        <v>68</v>
      </c>
      <c r="F2085" s="563"/>
    </row>
    <row r="2086" spans="1:10">
      <c r="A2086" s="545"/>
      <c r="B2086" s="289"/>
      <c r="C2086" s="575">
        <f>C2009+C2024+C2028+C2044+C2060</f>
        <v>4342.6499999999996</v>
      </c>
      <c r="D2086" s="19"/>
      <c r="E2086" s="600"/>
      <c r="F2086" s="564"/>
    </row>
    <row r="2087" spans="1:10">
      <c r="A2087" s="639" t="s">
        <v>483</v>
      </c>
      <c r="B2087" s="640"/>
      <c r="C2087" s="640"/>
      <c r="D2087" s="640"/>
      <c r="E2087" s="640"/>
      <c r="F2087" s="651"/>
      <c r="J2087" s="2" t="s">
        <v>214</v>
      </c>
    </row>
    <row r="2088" spans="1:10">
      <c r="A2088" s="128"/>
      <c r="B2088" s="138"/>
      <c r="C2088" s="445">
        <v>655.9</v>
      </c>
      <c r="D2088" s="138"/>
      <c r="E2088" s="129"/>
      <c r="F2088" s="138"/>
    </row>
    <row r="2089" spans="1:10">
      <c r="A2089" s="131">
        <v>1</v>
      </c>
      <c r="B2089" s="139" t="s">
        <v>484</v>
      </c>
      <c r="C2089" s="127"/>
      <c r="D2089" s="142"/>
      <c r="E2089" s="132"/>
      <c r="F2089" s="706" t="s">
        <v>1010</v>
      </c>
    </row>
    <row r="2090" spans="1:10">
      <c r="A2090" s="131" t="s">
        <v>11</v>
      </c>
      <c r="B2090" s="140" t="s">
        <v>12</v>
      </c>
      <c r="C2090" s="127">
        <f>SUM(C2091:C2094)</f>
        <v>147.4</v>
      </c>
      <c r="D2090" s="133" t="s">
        <v>72</v>
      </c>
      <c r="E2090" s="142" t="s">
        <v>9</v>
      </c>
      <c r="F2090" s="706"/>
    </row>
    <row r="2091" spans="1:10">
      <c r="A2091" s="131"/>
      <c r="B2091" s="537" t="s">
        <v>14</v>
      </c>
      <c r="C2091" s="157">
        <v>19.399999999999999</v>
      </c>
      <c r="D2091" s="143" t="s">
        <v>15</v>
      </c>
      <c r="E2091" s="132" t="s">
        <v>18</v>
      </c>
      <c r="F2091" s="706"/>
    </row>
    <row r="2092" spans="1:10">
      <c r="A2092" s="131"/>
      <c r="B2092" s="537" t="s">
        <v>47</v>
      </c>
      <c r="C2092" s="157">
        <v>16</v>
      </c>
      <c r="D2092" s="143" t="s">
        <v>20</v>
      </c>
      <c r="E2092" s="132" t="s">
        <v>18</v>
      </c>
      <c r="F2092" s="706"/>
    </row>
    <row r="2093" spans="1:10">
      <c r="A2093" s="131"/>
      <c r="B2093" s="537" t="s">
        <v>17</v>
      </c>
      <c r="C2093" s="157">
        <v>92.4</v>
      </c>
      <c r="D2093" s="143" t="s">
        <v>15</v>
      </c>
      <c r="E2093" s="132" t="s">
        <v>18</v>
      </c>
      <c r="F2093" s="706"/>
    </row>
    <row r="2094" spans="1:10">
      <c r="A2094" s="131"/>
      <c r="B2094" s="537" t="s">
        <v>36</v>
      </c>
      <c r="C2094" s="157">
        <v>19.600000000000001</v>
      </c>
      <c r="D2094" s="143" t="s">
        <v>15</v>
      </c>
      <c r="E2094" s="132" t="s">
        <v>42</v>
      </c>
      <c r="F2094" s="706"/>
    </row>
    <row r="2095" spans="1:10">
      <c r="A2095" s="131" t="s">
        <v>29</v>
      </c>
      <c r="B2095" s="140" t="s">
        <v>30</v>
      </c>
      <c r="C2095" s="127">
        <f>SUM(C2096:C2100)</f>
        <v>275.5</v>
      </c>
      <c r="D2095" s="143" t="s">
        <v>72</v>
      </c>
      <c r="E2095" s="132" t="s">
        <v>9</v>
      </c>
      <c r="F2095" s="706"/>
    </row>
    <row r="2096" spans="1:10">
      <c r="A2096" s="131"/>
      <c r="B2096" s="537" t="s">
        <v>17</v>
      </c>
      <c r="C2096" s="157">
        <v>131.30000000000001</v>
      </c>
      <c r="D2096" s="143" t="s">
        <v>15</v>
      </c>
      <c r="E2096" s="132" t="s">
        <v>18</v>
      </c>
      <c r="F2096" s="706"/>
    </row>
    <row r="2097" spans="1:6">
      <c r="A2097" s="131"/>
      <c r="B2097" s="537" t="s">
        <v>14</v>
      </c>
      <c r="C2097" s="157">
        <v>39.299999999999997</v>
      </c>
      <c r="D2097" s="143" t="s">
        <v>15</v>
      </c>
      <c r="E2097" s="132" t="s">
        <v>18</v>
      </c>
      <c r="F2097" s="706"/>
    </row>
    <row r="2098" spans="1:6">
      <c r="A2098" s="131"/>
      <c r="B2098" s="537" t="s">
        <v>47</v>
      </c>
      <c r="C2098" s="157">
        <v>16.2</v>
      </c>
      <c r="D2098" s="143" t="s">
        <v>20</v>
      </c>
      <c r="E2098" s="132" t="s">
        <v>18</v>
      </c>
      <c r="F2098" s="706"/>
    </row>
    <row r="2099" spans="1:6">
      <c r="A2099" s="131"/>
      <c r="B2099" s="537" t="s">
        <v>36</v>
      </c>
      <c r="C2099" s="157">
        <v>86.2</v>
      </c>
      <c r="D2099" s="143" t="s">
        <v>15</v>
      </c>
      <c r="E2099" s="132" t="s">
        <v>18</v>
      </c>
      <c r="F2099" s="706"/>
    </row>
    <row r="2100" spans="1:6">
      <c r="A2100" s="131"/>
      <c r="B2100" s="537" t="s">
        <v>21</v>
      </c>
      <c r="C2100" s="157">
        <v>2.5</v>
      </c>
      <c r="D2100" s="143" t="s">
        <v>22</v>
      </c>
      <c r="E2100" s="132" t="s">
        <v>18</v>
      </c>
      <c r="F2100" s="706"/>
    </row>
    <row r="2101" spans="1:6">
      <c r="A2101" s="131"/>
      <c r="B2101" s="537"/>
      <c r="C2101" s="157"/>
      <c r="D2101" s="143"/>
      <c r="E2101" s="132"/>
      <c r="F2101" s="706"/>
    </row>
    <row r="2102" spans="1:6">
      <c r="A2102" s="131" t="s">
        <v>37</v>
      </c>
      <c r="B2102" s="140" t="s">
        <v>38</v>
      </c>
      <c r="C2102" s="127">
        <f>SUM(C2103:C2105)</f>
        <v>183.7</v>
      </c>
      <c r="D2102" s="143" t="s">
        <v>72</v>
      </c>
      <c r="E2102" s="132" t="s">
        <v>9</v>
      </c>
      <c r="F2102" s="737"/>
    </row>
    <row r="2103" spans="1:6">
      <c r="A2103" s="131"/>
      <c r="B2103" s="537" t="s">
        <v>14</v>
      </c>
      <c r="C2103" s="157">
        <v>60.6</v>
      </c>
      <c r="D2103" s="143" t="s">
        <v>15</v>
      </c>
      <c r="E2103" s="132" t="s">
        <v>18</v>
      </c>
      <c r="F2103" s="737"/>
    </row>
    <row r="2104" spans="1:6">
      <c r="A2104" s="131"/>
      <c r="B2104" s="537" t="s">
        <v>47</v>
      </c>
      <c r="C2104" s="157">
        <v>16.2</v>
      </c>
      <c r="D2104" s="143" t="s">
        <v>15</v>
      </c>
      <c r="E2104" s="132" t="s">
        <v>18</v>
      </c>
      <c r="F2104" s="737"/>
    </row>
    <row r="2105" spans="1:6">
      <c r="A2105" s="131"/>
      <c r="B2105" s="537" t="s">
        <v>71</v>
      </c>
      <c r="C2105" s="157">
        <v>106.9</v>
      </c>
      <c r="D2105" s="143" t="s">
        <v>15</v>
      </c>
      <c r="E2105" s="132" t="s">
        <v>42</v>
      </c>
      <c r="F2105" s="737"/>
    </row>
    <row r="2106" spans="1:6">
      <c r="A2106" s="131" t="s">
        <v>81</v>
      </c>
      <c r="B2106" s="140" t="s">
        <v>486</v>
      </c>
      <c r="C2106" s="127">
        <f>SUM(C2107:C2111)</f>
        <v>20</v>
      </c>
      <c r="D2106" s="143"/>
      <c r="E2106" s="132"/>
      <c r="F2106" s="737"/>
    </row>
    <row r="2107" spans="1:6">
      <c r="A2107" s="131"/>
      <c r="B2107" s="537" t="s">
        <v>487</v>
      </c>
      <c r="C2107" s="157">
        <v>20</v>
      </c>
      <c r="D2107" s="143" t="s">
        <v>148</v>
      </c>
      <c r="E2107" s="132" t="s">
        <v>28</v>
      </c>
      <c r="F2107" s="737"/>
    </row>
    <row r="2108" spans="1:6">
      <c r="A2108" s="131"/>
      <c r="B2108" s="537" t="s">
        <v>488</v>
      </c>
      <c r="C2108" s="157"/>
      <c r="D2108" s="143"/>
      <c r="E2108" s="132"/>
      <c r="F2108" s="737"/>
    </row>
    <row r="2109" spans="1:6">
      <c r="A2109" s="131"/>
      <c r="B2109" s="537" t="s">
        <v>489</v>
      </c>
      <c r="C2109" s="157"/>
      <c r="D2109" s="143"/>
      <c r="E2109" s="132"/>
      <c r="F2109" s="737"/>
    </row>
    <row r="2110" spans="1:6">
      <c r="A2110" s="131"/>
      <c r="B2110" s="537" t="s">
        <v>490</v>
      </c>
      <c r="C2110" s="157"/>
      <c r="D2110" s="143"/>
      <c r="E2110" s="132"/>
      <c r="F2110" s="737"/>
    </row>
    <row r="2111" spans="1:6">
      <c r="A2111" s="131"/>
      <c r="B2111" s="537" t="s">
        <v>491</v>
      </c>
      <c r="C2111" s="157"/>
      <c r="D2111" s="143"/>
      <c r="E2111" s="132"/>
      <c r="F2111" s="737"/>
    </row>
    <row r="2112" spans="1:6">
      <c r="A2112" s="135" t="s">
        <v>83</v>
      </c>
      <c r="B2112" s="158" t="s">
        <v>492</v>
      </c>
      <c r="C2112" s="209">
        <v>29.3</v>
      </c>
      <c r="D2112" s="144" t="s">
        <v>27</v>
      </c>
      <c r="E2112" s="136" t="s">
        <v>493</v>
      </c>
      <c r="F2112" s="747"/>
    </row>
    <row r="2113" spans="1:6">
      <c r="A2113" s="639" t="s">
        <v>494</v>
      </c>
      <c r="B2113" s="640"/>
      <c r="C2113" s="640"/>
      <c r="D2113" s="640"/>
      <c r="E2113" s="640"/>
      <c r="F2113" s="648"/>
    </row>
    <row r="2114" spans="1:6">
      <c r="A2114" s="9">
        <v>1</v>
      </c>
      <c r="B2114" s="282" t="s">
        <v>495</v>
      </c>
      <c r="C2114" s="452">
        <f>SUM(C2115+C2120+C2127)</f>
        <v>855.2</v>
      </c>
      <c r="D2114" s="540"/>
      <c r="E2114" s="7"/>
      <c r="F2114" s="638" t="s">
        <v>496</v>
      </c>
    </row>
    <row r="2115" spans="1:6">
      <c r="A2115" s="545" t="s">
        <v>11</v>
      </c>
      <c r="B2115" s="140" t="s">
        <v>12</v>
      </c>
      <c r="C2115" s="25">
        <f>SUM(C2116:C2119)</f>
        <v>136.30000000000001</v>
      </c>
      <c r="D2115" s="133" t="s">
        <v>72</v>
      </c>
      <c r="E2115" s="142" t="s">
        <v>9</v>
      </c>
      <c r="F2115" s="633"/>
    </row>
    <row r="2116" spans="1:6">
      <c r="A2116" s="545"/>
      <c r="B2116" s="537" t="s">
        <v>14</v>
      </c>
      <c r="C2116" s="159">
        <v>0</v>
      </c>
      <c r="D2116" s="543" t="s">
        <v>15</v>
      </c>
      <c r="E2116" s="32" t="s">
        <v>18</v>
      </c>
      <c r="F2116" s="633"/>
    </row>
    <row r="2117" spans="1:6">
      <c r="A2117" s="545"/>
      <c r="B2117" s="537" t="s">
        <v>47</v>
      </c>
      <c r="C2117" s="159">
        <v>15.9</v>
      </c>
      <c r="D2117" s="543" t="s">
        <v>20</v>
      </c>
      <c r="E2117" s="32" t="s">
        <v>18</v>
      </c>
      <c r="F2117" s="633"/>
    </row>
    <row r="2118" spans="1:6">
      <c r="A2118" s="545"/>
      <c r="B2118" s="537" t="s">
        <v>17</v>
      </c>
      <c r="C2118" s="159">
        <v>58.8</v>
      </c>
      <c r="D2118" s="543" t="s">
        <v>15</v>
      </c>
      <c r="E2118" s="32" t="s">
        <v>18</v>
      </c>
      <c r="F2118" s="633"/>
    </row>
    <row r="2119" spans="1:6">
      <c r="A2119" s="545"/>
      <c r="B2119" s="537" t="s">
        <v>36</v>
      </c>
      <c r="C2119" s="159">
        <v>61.6</v>
      </c>
      <c r="D2119" s="543" t="s">
        <v>15</v>
      </c>
      <c r="E2119" s="32" t="s">
        <v>42</v>
      </c>
      <c r="F2119" s="633"/>
    </row>
    <row r="2120" spans="1:6">
      <c r="A2120" s="545" t="s">
        <v>29</v>
      </c>
      <c r="B2120" s="140" t="s">
        <v>30</v>
      </c>
      <c r="C2120" s="25">
        <f>SUM(C2121:C2125)</f>
        <v>271.2</v>
      </c>
      <c r="D2120" s="133" t="s">
        <v>72</v>
      </c>
      <c r="E2120" s="142" t="s">
        <v>9</v>
      </c>
      <c r="F2120" s="633"/>
    </row>
    <row r="2121" spans="1:6">
      <c r="A2121" s="545"/>
      <c r="B2121" s="537" t="s">
        <v>17</v>
      </c>
      <c r="C2121" s="159">
        <v>150.69999999999999</v>
      </c>
      <c r="D2121" s="543" t="s">
        <v>15</v>
      </c>
      <c r="E2121" s="32" t="s">
        <v>18</v>
      </c>
      <c r="F2121" s="633"/>
    </row>
    <row r="2122" spans="1:6">
      <c r="A2122" s="545"/>
      <c r="B2122" s="537" t="s">
        <v>14</v>
      </c>
      <c r="C2122" s="159">
        <v>34.299999999999997</v>
      </c>
      <c r="D2122" s="543" t="s">
        <v>15</v>
      </c>
      <c r="E2122" s="32" t="s">
        <v>18</v>
      </c>
      <c r="F2122" s="633"/>
    </row>
    <row r="2123" spans="1:6">
      <c r="A2123" s="545"/>
      <c r="B2123" s="537" t="s">
        <v>47</v>
      </c>
      <c r="C2123" s="159">
        <v>15.9</v>
      </c>
      <c r="D2123" s="543" t="s">
        <v>20</v>
      </c>
      <c r="E2123" s="32" t="s">
        <v>18</v>
      </c>
      <c r="F2123" s="633"/>
    </row>
    <row r="2124" spans="1:6">
      <c r="A2124" s="545"/>
      <c r="B2124" s="537" t="s">
        <v>36</v>
      </c>
      <c r="C2124" s="159">
        <v>62.6</v>
      </c>
      <c r="D2124" s="543" t="s">
        <v>15</v>
      </c>
      <c r="E2124" s="32" t="s">
        <v>18</v>
      </c>
      <c r="F2124" s="633"/>
    </row>
    <row r="2125" spans="1:6">
      <c r="A2125" s="545"/>
      <c r="B2125" s="537" t="s">
        <v>21</v>
      </c>
      <c r="C2125" s="159">
        <v>7.7</v>
      </c>
      <c r="D2125" s="543" t="s">
        <v>22</v>
      </c>
      <c r="E2125" s="32" t="s">
        <v>18</v>
      </c>
      <c r="F2125" s="633"/>
    </row>
    <row r="2126" spans="1:6">
      <c r="A2126" s="545"/>
      <c r="B2126" s="537"/>
      <c r="C2126" s="159"/>
      <c r="D2126" s="543"/>
      <c r="E2126" s="32"/>
      <c r="F2126" s="633"/>
    </row>
    <row r="2127" spans="1:6">
      <c r="A2127" s="545"/>
      <c r="B2127" s="140" t="s">
        <v>38</v>
      </c>
      <c r="C2127" s="25">
        <f>SUM(C2128:C2132)</f>
        <v>447.7</v>
      </c>
      <c r="D2127" s="133" t="s">
        <v>72</v>
      </c>
      <c r="E2127" s="142" t="s">
        <v>9</v>
      </c>
      <c r="F2127" s="732"/>
    </row>
    <row r="2128" spans="1:6">
      <c r="A2128" s="545"/>
      <c r="B2128" s="537" t="s">
        <v>14</v>
      </c>
      <c r="C2128" s="159">
        <v>24</v>
      </c>
      <c r="D2128" s="543" t="s">
        <v>15</v>
      </c>
      <c r="E2128" s="32" t="s">
        <v>18</v>
      </c>
      <c r="F2128" s="732"/>
    </row>
    <row r="2129" spans="1:6">
      <c r="A2129" s="545"/>
      <c r="B2129" s="537" t="s">
        <v>47</v>
      </c>
      <c r="C2129" s="159">
        <v>3.8</v>
      </c>
      <c r="D2129" s="543" t="s">
        <v>15</v>
      </c>
      <c r="E2129" s="32" t="s">
        <v>18</v>
      </c>
      <c r="F2129" s="732"/>
    </row>
    <row r="2130" spans="1:6">
      <c r="A2130" s="545" t="s">
        <v>37</v>
      </c>
      <c r="B2130" s="537" t="s">
        <v>71</v>
      </c>
      <c r="C2130" s="159">
        <v>381.9</v>
      </c>
      <c r="D2130" s="543" t="s">
        <v>15</v>
      </c>
      <c r="E2130" s="32" t="s">
        <v>42</v>
      </c>
      <c r="F2130" s="732"/>
    </row>
    <row r="2131" spans="1:6">
      <c r="A2131" s="545"/>
      <c r="B2131" s="537" t="s">
        <v>21</v>
      </c>
      <c r="C2131" s="159">
        <v>7.7</v>
      </c>
      <c r="D2131" s="543" t="s">
        <v>22</v>
      </c>
      <c r="E2131" s="32" t="s">
        <v>18</v>
      </c>
      <c r="F2131" s="732"/>
    </row>
    <row r="2132" spans="1:6">
      <c r="A2132" s="13"/>
      <c r="B2132" s="141" t="s">
        <v>36</v>
      </c>
      <c r="C2132" s="160">
        <v>30.3</v>
      </c>
      <c r="D2132" s="42" t="s">
        <v>20</v>
      </c>
      <c r="E2132" s="91" t="s">
        <v>18</v>
      </c>
      <c r="F2132" s="732"/>
    </row>
    <row r="2133" spans="1:6">
      <c r="A2133" s="646" t="s">
        <v>497</v>
      </c>
      <c r="B2133" s="647"/>
      <c r="C2133" s="647"/>
      <c r="D2133" s="647"/>
      <c r="E2133" s="647"/>
      <c r="F2133" s="681"/>
    </row>
    <row r="2134" spans="1:6">
      <c r="A2134" s="128"/>
      <c r="B2134" s="138"/>
      <c r="C2134" s="450">
        <v>380.3</v>
      </c>
      <c r="D2134" s="129"/>
      <c r="E2134" s="138"/>
      <c r="F2134" s="130"/>
    </row>
    <row r="2135" spans="1:6">
      <c r="A2135" s="131">
        <v>1</v>
      </c>
      <c r="B2135" s="139" t="s">
        <v>498</v>
      </c>
      <c r="C2135" s="146"/>
      <c r="D2135" s="132"/>
      <c r="E2135" s="142"/>
      <c r="F2135" s="709" t="s">
        <v>499</v>
      </c>
    </row>
    <row r="2136" spans="1:6">
      <c r="A2136" s="131" t="s">
        <v>11</v>
      </c>
      <c r="B2136" s="140" t="s">
        <v>12</v>
      </c>
      <c r="C2136" s="149">
        <f>SUM(C2137:C2149)-C2143-C2147</f>
        <v>380.3</v>
      </c>
      <c r="D2136" s="133" t="s">
        <v>72</v>
      </c>
      <c r="E2136" s="142" t="s">
        <v>9</v>
      </c>
      <c r="F2136" s="709"/>
    </row>
    <row r="2137" spans="1:6">
      <c r="A2137" s="131"/>
      <c r="B2137" s="537" t="s">
        <v>500</v>
      </c>
      <c r="C2137" s="142">
        <v>6.2</v>
      </c>
      <c r="D2137" s="133" t="s">
        <v>15</v>
      </c>
      <c r="E2137" s="142" t="s">
        <v>28</v>
      </c>
      <c r="F2137" s="709"/>
    </row>
    <row r="2138" spans="1:6">
      <c r="A2138" s="131"/>
      <c r="B2138" s="537" t="s">
        <v>159</v>
      </c>
      <c r="C2138" s="142">
        <v>14.9</v>
      </c>
      <c r="D2138" s="133" t="s">
        <v>15</v>
      </c>
      <c r="E2138" s="142" t="s">
        <v>42</v>
      </c>
      <c r="F2138" s="709"/>
    </row>
    <row r="2139" spans="1:6">
      <c r="A2139" s="131"/>
      <c r="B2139" s="537" t="s">
        <v>36</v>
      </c>
      <c r="C2139" s="142">
        <v>26.9</v>
      </c>
      <c r="D2139" s="133" t="s">
        <v>15</v>
      </c>
      <c r="E2139" s="142" t="s">
        <v>28</v>
      </c>
      <c r="F2139" s="709"/>
    </row>
    <row r="2140" spans="1:6">
      <c r="A2140" s="131"/>
      <c r="B2140" s="537" t="s">
        <v>36</v>
      </c>
      <c r="C2140" s="142">
        <v>104.1</v>
      </c>
      <c r="D2140" s="133" t="s">
        <v>13</v>
      </c>
      <c r="E2140" s="142" t="s">
        <v>9</v>
      </c>
      <c r="F2140" s="709"/>
    </row>
    <row r="2141" spans="1:6">
      <c r="A2141" s="131"/>
      <c r="B2141" s="537" t="s">
        <v>350</v>
      </c>
      <c r="C2141" s="142">
        <v>15</v>
      </c>
      <c r="D2141" s="133" t="s">
        <v>15</v>
      </c>
      <c r="E2141" s="142" t="s">
        <v>18</v>
      </c>
      <c r="F2141" s="709"/>
    </row>
    <row r="2142" spans="1:6">
      <c r="A2142" s="131"/>
      <c r="B2142" s="537" t="s">
        <v>14</v>
      </c>
      <c r="C2142" s="142">
        <v>83.9</v>
      </c>
      <c r="D2142" s="133" t="s">
        <v>15</v>
      </c>
      <c r="E2142" s="142" t="s">
        <v>18</v>
      </c>
      <c r="F2142" s="709"/>
    </row>
    <row r="2143" spans="1:6">
      <c r="A2143" s="131"/>
      <c r="B2143" s="537"/>
      <c r="C2143" s="142">
        <v>38.200000000000003</v>
      </c>
      <c r="D2143" s="133" t="s">
        <v>27</v>
      </c>
      <c r="E2143" s="142" t="s">
        <v>472</v>
      </c>
      <c r="F2143" s="709"/>
    </row>
    <row r="2144" spans="1:6">
      <c r="A2144" s="131"/>
      <c r="B2144" s="537" t="s">
        <v>47</v>
      </c>
      <c r="C2144" s="142">
        <v>13.9</v>
      </c>
      <c r="D2144" s="133" t="s">
        <v>20</v>
      </c>
      <c r="E2144" s="142" t="s">
        <v>18</v>
      </c>
      <c r="F2144" s="709"/>
    </row>
    <row r="2145" spans="1:6">
      <c r="A2145" s="131"/>
      <c r="B2145" s="537"/>
      <c r="C2145" s="142"/>
      <c r="D2145" s="133" t="s">
        <v>27</v>
      </c>
      <c r="E2145" s="142" t="s">
        <v>472</v>
      </c>
      <c r="F2145" s="709"/>
    </row>
    <row r="2146" spans="1:6">
      <c r="A2146" s="131"/>
      <c r="B2146" s="537" t="s">
        <v>36</v>
      </c>
      <c r="C2146" s="142">
        <v>46.3</v>
      </c>
      <c r="D2146" s="133" t="s">
        <v>15</v>
      </c>
      <c r="E2146" s="142" t="s">
        <v>18</v>
      </c>
      <c r="F2146" s="709"/>
    </row>
    <row r="2147" spans="1:6">
      <c r="A2147" s="131"/>
      <c r="B2147" s="537"/>
      <c r="C2147" s="142">
        <v>31.4</v>
      </c>
      <c r="D2147" s="133" t="s">
        <v>27</v>
      </c>
      <c r="E2147" s="142" t="s">
        <v>472</v>
      </c>
      <c r="F2147" s="709"/>
    </row>
    <row r="2148" spans="1:6">
      <c r="A2148" s="131"/>
      <c r="B2148" s="537" t="s">
        <v>21</v>
      </c>
      <c r="C2148" s="142">
        <v>9.5</v>
      </c>
      <c r="D2148" s="133" t="s">
        <v>22</v>
      </c>
      <c r="E2148" s="142" t="s">
        <v>18</v>
      </c>
      <c r="F2148" s="709"/>
    </row>
    <row r="2149" spans="1:6">
      <c r="A2149" s="135"/>
      <c r="B2149" s="141" t="s">
        <v>24</v>
      </c>
      <c r="C2149" s="147">
        <v>59.6</v>
      </c>
      <c r="D2149" s="137" t="s">
        <v>67</v>
      </c>
      <c r="E2149" s="147" t="s">
        <v>68</v>
      </c>
      <c r="F2149" s="725"/>
    </row>
    <row r="2150" spans="1:6">
      <c r="A2150" s="131"/>
      <c r="B2150" s="537"/>
      <c r="C2150" s="473">
        <v>473.6</v>
      </c>
      <c r="D2150" s="133"/>
      <c r="E2150" s="142"/>
      <c r="F2150" s="527"/>
    </row>
    <row r="2151" spans="1:6">
      <c r="A2151" s="131">
        <v>2</v>
      </c>
      <c r="B2151" s="139" t="s">
        <v>498</v>
      </c>
      <c r="C2151" s="146"/>
      <c r="D2151" s="132"/>
      <c r="E2151" s="142"/>
      <c r="F2151" s="709" t="s">
        <v>501</v>
      </c>
    </row>
    <row r="2152" spans="1:6">
      <c r="A2152" s="131" t="s">
        <v>11</v>
      </c>
      <c r="B2152" s="140" t="s">
        <v>502</v>
      </c>
      <c r="C2152" s="146">
        <f>SUM(C2153:C2164)</f>
        <v>473.6</v>
      </c>
      <c r="D2152" s="133" t="s">
        <v>72</v>
      </c>
      <c r="E2152" s="142" t="s">
        <v>9</v>
      </c>
      <c r="F2152" s="709"/>
    </row>
    <row r="2153" spans="1:6">
      <c r="A2153" s="131"/>
      <c r="B2153" s="537" t="s">
        <v>17</v>
      </c>
      <c r="C2153" s="142">
        <v>82.2</v>
      </c>
      <c r="D2153" s="133" t="s">
        <v>15</v>
      </c>
      <c r="E2153" s="142" t="s">
        <v>18</v>
      </c>
      <c r="F2153" s="709"/>
    </row>
    <row r="2154" spans="1:6">
      <c r="A2154" s="131"/>
      <c r="B2154" s="537" t="s">
        <v>36</v>
      </c>
      <c r="C2154" s="142">
        <v>59.2</v>
      </c>
      <c r="D2154" s="133" t="s">
        <v>15</v>
      </c>
      <c r="E2154" s="142" t="s">
        <v>503</v>
      </c>
      <c r="F2154" s="709"/>
    </row>
    <row r="2155" spans="1:6">
      <c r="A2155" s="131"/>
      <c r="B2155" s="537"/>
      <c r="C2155" s="142"/>
      <c r="D2155" s="133" t="s">
        <v>27</v>
      </c>
      <c r="E2155" s="142" t="s">
        <v>472</v>
      </c>
      <c r="F2155" s="709"/>
    </row>
    <row r="2156" spans="1:6">
      <c r="A2156" s="131"/>
      <c r="B2156" s="537" t="s">
        <v>36</v>
      </c>
      <c r="C2156" s="142">
        <v>26.3</v>
      </c>
      <c r="D2156" s="133" t="s">
        <v>15</v>
      </c>
      <c r="E2156" s="142" t="s">
        <v>18</v>
      </c>
      <c r="F2156" s="709"/>
    </row>
    <row r="2157" spans="1:6">
      <c r="A2157" s="131"/>
      <c r="B2157" s="537" t="s">
        <v>504</v>
      </c>
      <c r="C2157" s="142">
        <v>33.299999999999997</v>
      </c>
      <c r="D2157" s="133" t="s">
        <v>15</v>
      </c>
      <c r="E2157" s="142" t="s">
        <v>42</v>
      </c>
      <c r="F2157" s="709"/>
    </row>
    <row r="2158" spans="1:6">
      <c r="A2158" s="131"/>
      <c r="B2158" s="537" t="s">
        <v>39</v>
      </c>
      <c r="C2158" s="142">
        <v>94</v>
      </c>
      <c r="D2158" s="133" t="s">
        <v>15</v>
      </c>
      <c r="E2158" s="142" t="s">
        <v>503</v>
      </c>
      <c r="F2158" s="709"/>
    </row>
    <row r="2159" spans="1:6">
      <c r="A2159" s="131"/>
      <c r="B2159" s="537"/>
      <c r="C2159" s="142"/>
      <c r="D2159" s="133" t="s">
        <v>27</v>
      </c>
      <c r="E2159" s="142" t="s">
        <v>472</v>
      </c>
      <c r="F2159" s="709"/>
    </row>
    <row r="2160" spans="1:6">
      <c r="A2160" s="131"/>
      <c r="B2160" s="537" t="s">
        <v>21</v>
      </c>
      <c r="C2160" s="142">
        <v>9.6</v>
      </c>
      <c r="D2160" s="133" t="s">
        <v>22</v>
      </c>
      <c r="E2160" s="142" t="s">
        <v>18</v>
      </c>
      <c r="F2160" s="709"/>
    </row>
    <row r="2161" spans="1:6">
      <c r="A2161" s="131"/>
      <c r="B2161" s="537" t="s">
        <v>40</v>
      </c>
      <c r="C2161" s="142">
        <v>9.1999999999999993</v>
      </c>
      <c r="D2161" s="133" t="s">
        <v>13</v>
      </c>
      <c r="E2161" s="142" t="s">
        <v>9</v>
      </c>
      <c r="F2161" s="709"/>
    </row>
    <row r="2162" spans="1:6">
      <c r="A2162" s="131"/>
      <c r="B2162" s="537" t="s">
        <v>463</v>
      </c>
      <c r="C2162" s="142">
        <v>145.9</v>
      </c>
      <c r="D2162" s="133" t="s">
        <v>13</v>
      </c>
      <c r="E2162" s="142" t="s">
        <v>9</v>
      </c>
      <c r="F2162" s="709"/>
    </row>
    <row r="2163" spans="1:6">
      <c r="A2163" s="131"/>
      <c r="B2163" s="537" t="s">
        <v>76</v>
      </c>
      <c r="C2163" s="142">
        <v>13.9</v>
      </c>
      <c r="D2163" s="133" t="s">
        <v>27</v>
      </c>
      <c r="E2163" s="142" t="s">
        <v>18</v>
      </c>
      <c r="F2163" s="709"/>
    </row>
    <row r="2164" spans="1:6">
      <c r="A2164" s="135"/>
      <c r="B2164" s="141"/>
      <c r="C2164" s="147"/>
      <c r="D2164" s="137" t="s">
        <v>27</v>
      </c>
      <c r="E2164" s="147" t="s">
        <v>472</v>
      </c>
      <c r="F2164" s="725"/>
    </row>
    <row r="2165" spans="1:6">
      <c r="A2165" s="161"/>
      <c r="B2165" s="291"/>
      <c r="C2165" s="577">
        <f>C2134+C2150</f>
        <v>853.90000000000009</v>
      </c>
      <c r="D2165" s="752"/>
      <c r="E2165" s="753"/>
      <c r="F2165" s="536"/>
    </row>
    <row r="2166" spans="1:6" ht="15.75">
      <c r="A2166" s="475"/>
      <c r="B2166" s="476"/>
      <c r="C2166" s="477">
        <f>C1653+C1740+C1742+C1796+C1834+C1836+C1887+C1975+C2007+C2086+C2088+C2114+C2165</f>
        <v>24993.800000000007</v>
      </c>
      <c r="D2166" s="478"/>
      <c r="E2166" s="478"/>
      <c r="F2166" s="479"/>
    </row>
    <row r="2167" spans="1:6" ht="15.75">
      <c r="A2167" s="712" t="s">
        <v>661</v>
      </c>
      <c r="B2167" s="713"/>
      <c r="C2167" s="713"/>
      <c r="D2167" s="713"/>
      <c r="E2167" s="713"/>
      <c r="F2167" s="714"/>
    </row>
    <row r="2168" spans="1:6" ht="15.75">
      <c r="A2168" s="754" t="s">
        <v>505</v>
      </c>
      <c r="B2168" s="755"/>
      <c r="C2168" s="755"/>
      <c r="D2168" s="755"/>
      <c r="E2168" s="755"/>
      <c r="F2168" s="750"/>
    </row>
    <row r="2169" spans="1:6">
      <c r="A2169" s="9"/>
      <c r="B2169" s="277" t="s">
        <v>506</v>
      </c>
      <c r="C2169" s="39">
        <f>C2170+C2174</f>
        <v>442.9</v>
      </c>
      <c r="D2169" s="17"/>
      <c r="E2169" s="602"/>
      <c r="F2169" s="638" t="s">
        <v>507</v>
      </c>
    </row>
    <row r="2170" spans="1:6">
      <c r="A2170" s="545" t="s">
        <v>11</v>
      </c>
      <c r="B2170" s="278" t="s">
        <v>12</v>
      </c>
      <c r="C2170" s="18">
        <f>SUM(C2171:C2173)</f>
        <v>115.69999999999999</v>
      </c>
      <c r="D2170" s="19" t="s">
        <v>72</v>
      </c>
      <c r="E2170" s="603" t="s">
        <v>9</v>
      </c>
      <c r="F2170" s="633"/>
    </row>
    <row r="2171" spans="1:6">
      <c r="A2171" s="545"/>
      <c r="B2171" s="266" t="s">
        <v>17</v>
      </c>
      <c r="C2171" s="541">
        <v>53.5</v>
      </c>
      <c r="D2171" s="19" t="s">
        <v>15</v>
      </c>
      <c r="E2171" s="603" t="s">
        <v>18</v>
      </c>
      <c r="F2171" s="633"/>
    </row>
    <row r="2172" spans="1:6">
      <c r="A2172" s="545"/>
      <c r="B2172" s="266" t="s">
        <v>130</v>
      </c>
      <c r="C2172" s="541">
        <v>11.8</v>
      </c>
      <c r="D2172" s="19" t="s">
        <v>15</v>
      </c>
      <c r="E2172" s="603" t="s">
        <v>18</v>
      </c>
      <c r="F2172" s="633"/>
    </row>
    <row r="2173" spans="1:6">
      <c r="A2173" s="545"/>
      <c r="B2173" s="279" t="s">
        <v>39</v>
      </c>
      <c r="C2173" s="43">
        <v>50.4</v>
      </c>
      <c r="D2173" s="20" t="s">
        <v>15</v>
      </c>
      <c r="E2173" s="43" t="s">
        <v>18</v>
      </c>
      <c r="F2173" s="633"/>
    </row>
    <row r="2174" spans="1:6">
      <c r="A2174" s="9" t="s">
        <v>29</v>
      </c>
      <c r="B2174" s="278" t="s">
        <v>30</v>
      </c>
      <c r="C2174" s="18">
        <f>SUM(C2175:C2180)</f>
        <v>327.2</v>
      </c>
      <c r="D2174" s="19" t="s">
        <v>72</v>
      </c>
      <c r="E2174" s="603" t="s">
        <v>9</v>
      </c>
      <c r="F2174" s="638" t="s">
        <v>508</v>
      </c>
    </row>
    <row r="2175" spans="1:6">
      <c r="A2175" s="545"/>
      <c r="B2175" s="266" t="s">
        <v>17</v>
      </c>
      <c r="C2175" s="541">
        <v>190.8</v>
      </c>
      <c r="D2175" s="19" t="s">
        <v>15</v>
      </c>
      <c r="E2175" s="603" t="s">
        <v>18</v>
      </c>
      <c r="F2175" s="633"/>
    </row>
    <row r="2176" spans="1:6">
      <c r="A2176" s="545"/>
      <c r="B2176" s="266" t="s">
        <v>14</v>
      </c>
      <c r="C2176" s="541">
        <v>34.299999999999997</v>
      </c>
      <c r="D2176" s="19" t="s">
        <v>15</v>
      </c>
      <c r="E2176" s="603" t="s">
        <v>18</v>
      </c>
      <c r="F2176" s="633"/>
    </row>
    <row r="2177" spans="1:6">
      <c r="A2177" s="545"/>
      <c r="B2177" s="266" t="s">
        <v>509</v>
      </c>
      <c r="C2177" s="541">
        <v>50.7</v>
      </c>
      <c r="D2177" s="19" t="s">
        <v>15</v>
      </c>
      <c r="E2177" s="603" t="s">
        <v>510</v>
      </c>
      <c r="F2177" s="633"/>
    </row>
    <row r="2178" spans="1:6">
      <c r="A2178" s="545"/>
      <c r="B2178" s="266" t="s">
        <v>130</v>
      </c>
      <c r="C2178" s="541">
        <v>14.4</v>
      </c>
      <c r="D2178" s="19" t="s">
        <v>15</v>
      </c>
      <c r="E2178" s="603" t="s">
        <v>18</v>
      </c>
      <c r="F2178" s="633"/>
    </row>
    <row r="2179" spans="1:6">
      <c r="A2179" s="545"/>
      <c r="B2179" s="266" t="s">
        <v>21</v>
      </c>
      <c r="C2179" s="541">
        <v>5.6</v>
      </c>
      <c r="D2179" s="19" t="s">
        <v>15</v>
      </c>
      <c r="E2179" s="603" t="s">
        <v>18</v>
      </c>
      <c r="F2179" s="633"/>
    </row>
    <row r="2180" spans="1:6">
      <c r="A2180" s="13"/>
      <c r="B2180" s="279" t="s">
        <v>47</v>
      </c>
      <c r="C2180" s="43">
        <v>31.4</v>
      </c>
      <c r="D2180" s="20" t="s">
        <v>15</v>
      </c>
      <c r="E2180" s="43" t="s">
        <v>18</v>
      </c>
      <c r="F2180" s="633"/>
    </row>
    <row r="2181" spans="1:6" ht="15.75">
      <c r="A2181" s="748" t="s">
        <v>511</v>
      </c>
      <c r="B2181" s="749"/>
      <c r="C2181" s="749"/>
      <c r="D2181" s="749"/>
      <c r="E2181" s="749"/>
      <c r="F2181" s="750"/>
    </row>
    <row r="2182" spans="1:6">
      <c r="A2182" s="9"/>
      <c r="B2182" s="282" t="s">
        <v>512</v>
      </c>
      <c r="C2182" s="45">
        <f>SUM(C2183+C2186+C2192+C2200)</f>
        <v>872.2</v>
      </c>
      <c r="D2182" s="540"/>
      <c r="E2182" s="7"/>
      <c r="F2182" s="638" t="s">
        <v>513</v>
      </c>
    </row>
    <row r="2183" spans="1:6">
      <c r="A2183" s="545" t="s">
        <v>11</v>
      </c>
      <c r="B2183" s="140" t="s">
        <v>372</v>
      </c>
      <c r="C2183" s="546">
        <f>SUM(C2184:C2185)</f>
        <v>138</v>
      </c>
      <c r="D2183" s="599" t="s">
        <v>72</v>
      </c>
      <c r="E2183" s="32" t="s">
        <v>9</v>
      </c>
      <c r="F2183" s="633"/>
    </row>
    <row r="2184" spans="1:6">
      <c r="A2184" s="545"/>
      <c r="B2184" s="537" t="s">
        <v>17</v>
      </c>
      <c r="C2184" s="544">
        <f>27.3+26.6+12.2+31.9+0.8+0.8+1</f>
        <v>100.6</v>
      </c>
      <c r="D2184" s="543" t="s">
        <v>15</v>
      </c>
      <c r="E2184" s="32" t="s">
        <v>18</v>
      </c>
      <c r="F2184" s="633"/>
    </row>
    <row r="2185" spans="1:6">
      <c r="A2185" s="545"/>
      <c r="B2185" s="537" t="s">
        <v>14</v>
      </c>
      <c r="C2185" s="544">
        <f>4+13.8+13.8+5.8</f>
        <v>37.4</v>
      </c>
      <c r="D2185" s="543" t="s">
        <v>15</v>
      </c>
      <c r="E2185" s="32" t="s">
        <v>18</v>
      </c>
      <c r="F2185" s="633"/>
    </row>
    <row r="2186" spans="1:6">
      <c r="A2186" s="545" t="s">
        <v>29</v>
      </c>
      <c r="B2186" s="140" t="s">
        <v>12</v>
      </c>
      <c r="C2186" s="546">
        <f>SUM(C2187:C2191)</f>
        <v>349.09999999999997</v>
      </c>
      <c r="D2186" s="543" t="s">
        <v>13</v>
      </c>
      <c r="E2186" s="32" t="s">
        <v>9</v>
      </c>
      <c r="F2186" s="633"/>
    </row>
    <row r="2187" spans="1:6">
      <c r="A2187" s="545"/>
      <c r="B2187" s="537" t="s">
        <v>17</v>
      </c>
      <c r="C2187" s="544">
        <f>53.2+8.1+9+21+15.1</f>
        <v>106.4</v>
      </c>
      <c r="D2187" s="543" t="s">
        <v>15</v>
      </c>
      <c r="E2187" s="32" t="s">
        <v>18</v>
      </c>
      <c r="F2187" s="633"/>
    </row>
    <row r="2188" spans="1:6">
      <c r="A2188" s="545"/>
      <c r="B2188" s="537" t="s">
        <v>14</v>
      </c>
      <c r="C2188" s="544">
        <f>56+6.2+3.8</f>
        <v>66</v>
      </c>
      <c r="D2188" s="543" t="s">
        <v>15</v>
      </c>
      <c r="E2188" s="32" t="s">
        <v>18</v>
      </c>
      <c r="F2188" s="633"/>
    </row>
    <row r="2189" spans="1:6">
      <c r="A2189" s="545"/>
      <c r="B2189" s="537" t="s">
        <v>21</v>
      </c>
      <c r="C2189" s="544">
        <v>10.7</v>
      </c>
      <c r="D2189" s="543" t="s">
        <v>22</v>
      </c>
      <c r="E2189" s="32" t="s">
        <v>18</v>
      </c>
      <c r="F2189" s="633"/>
    </row>
    <row r="2190" spans="1:6">
      <c r="A2190" s="545"/>
      <c r="B2190" s="537" t="s">
        <v>36</v>
      </c>
      <c r="C2190" s="151">
        <f>3.8+65.5+25.2+7.3+15.6+9.4</f>
        <v>126.8</v>
      </c>
      <c r="D2190" s="163" t="s">
        <v>27</v>
      </c>
      <c r="E2190" s="162" t="s">
        <v>178</v>
      </c>
      <c r="F2190" s="633"/>
    </row>
    <row r="2191" spans="1:6">
      <c r="A2191" s="545"/>
      <c r="B2191" s="537" t="s">
        <v>24</v>
      </c>
      <c r="C2191" s="544">
        <f>16.2+23</f>
        <v>39.200000000000003</v>
      </c>
      <c r="D2191" s="543" t="s">
        <v>27</v>
      </c>
      <c r="E2191" s="162" t="s">
        <v>178</v>
      </c>
      <c r="F2191" s="633"/>
    </row>
    <row r="2192" spans="1:6">
      <c r="A2192" s="545" t="s">
        <v>37</v>
      </c>
      <c r="B2192" s="140" t="s">
        <v>30</v>
      </c>
      <c r="C2192" s="546">
        <f>SUM(C2193:C2199)</f>
        <v>360.4</v>
      </c>
      <c r="D2192" s="599" t="s">
        <v>72</v>
      </c>
      <c r="E2192" s="32" t="s">
        <v>9</v>
      </c>
      <c r="F2192" s="633"/>
    </row>
    <row r="2193" spans="1:12">
      <c r="A2193" s="545"/>
      <c r="B2193" s="537" t="s">
        <v>17</v>
      </c>
      <c r="C2193" s="544">
        <f>31.9+16.2+15.7+33.6+33.6+32.5+33.3+11.2</f>
        <v>208</v>
      </c>
      <c r="D2193" s="543" t="s">
        <v>15</v>
      </c>
      <c r="E2193" s="32" t="s">
        <v>18</v>
      </c>
      <c r="F2193" s="633"/>
    </row>
    <row r="2194" spans="1:12">
      <c r="A2194" s="545"/>
      <c r="B2194" s="537" t="s">
        <v>14</v>
      </c>
      <c r="C2194" s="544">
        <f>45.8</f>
        <v>45.8</v>
      </c>
      <c r="D2194" s="543" t="s">
        <v>15</v>
      </c>
      <c r="E2194" s="32" t="s">
        <v>18</v>
      </c>
      <c r="F2194" s="633"/>
    </row>
    <row r="2195" spans="1:12">
      <c r="A2195" s="545"/>
      <c r="B2195" s="537" t="s">
        <v>47</v>
      </c>
      <c r="C2195" s="544">
        <v>24.2</v>
      </c>
      <c r="D2195" s="543" t="s">
        <v>20</v>
      </c>
      <c r="E2195" s="32" t="s">
        <v>18</v>
      </c>
      <c r="F2195" s="633"/>
    </row>
    <row r="2196" spans="1:12">
      <c r="A2196" s="545"/>
      <c r="B2196" s="537" t="s">
        <v>47</v>
      </c>
      <c r="C2196" s="544">
        <v>13.4</v>
      </c>
      <c r="D2196" s="543" t="s">
        <v>54</v>
      </c>
      <c r="E2196" s="32" t="s">
        <v>42</v>
      </c>
      <c r="F2196" s="633"/>
    </row>
    <row r="2197" spans="1:12">
      <c r="A2197" s="545"/>
      <c r="B2197" s="537" t="s">
        <v>21</v>
      </c>
      <c r="C2197" s="544">
        <f>2.2+7</f>
        <v>9.1999999999999993</v>
      </c>
      <c r="D2197" s="543" t="s">
        <v>22</v>
      </c>
      <c r="E2197" s="32" t="s">
        <v>18</v>
      </c>
      <c r="F2197" s="633"/>
    </row>
    <row r="2198" spans="1:12">
      <c r="A2198" s="545"/>
      <c r="B2198" s="537" t="s">
        <v>36</v>
      </c>
      <c r="C2198" s="544">
        <f>14.8</f>
        <v>14.8</v>
      </c>
      <c r="D2198" s="543" t="s">
        <v>27</v>
      </c>
      <c r="E2198" s="32" t="s">
        <v>178</v>
      </c>
      <c r="F2198" s="633"/>
    </row>
    <row r="2199" spans="1:12">
      <c r="A2199" s="545"/>
      <c r="B2199" s="537" t="s">
        <v>71</v>
      </c>
      <c r="C2199" s="544">
        <f>32.2+12.8</f>
        <v>45</v>
      </c>
      <c r="D2199" s="543" t="s">
        <v>27</v>
      </c>
      <c r="E2199" s="32" t="s">
        <v>42</v>
      </c>
      <c r="F2199" s="633"/>
    </row>
    <row r="2200" spans="1:12">
      <c r="A2200" s="545" t="s">
        <v>81</v>
      </c>
      <c r="B2200" s="140" t="s">
        <v>514</v>
      </c>
      <c r="C2200" s="546">
        <f>SUM(C2201:C2202)</f>
        <v>24.7</v>
      </c>
      <c r="D2200" s="599" t="s">
        <v>72</v>
      </c>
      <c r="E2200" s="32" t="s">
        <v>9</v>
      </c>
      <c r="F2200" s="633"/>
    </row>
    <row r="2201" spans="1:12">
      <c r="A2201" s="545"/>
      <c r="B2201" s="537" t="s">
        <v>14</v>
      </c>
      <c r="C2201" s="544">
        <f>6.7</f>
        <v>6.7</v>
      </c>
      <c r="D2201" s="543" t="s">
        <v>15</v>
      </c>
      <c r="E2201" s="32" t="s">
        <v>18</v>
      </c>
      <c r="F2201" s="633"/>
    </row>
    <row r="2202" spans="1:12">
      <c r="A2202" s="545"/>
      <c r="B2202" s="537" t="s">
        <v>515</v>
      </c>
      <c r="C2202" s="544">
        <f>18</f>
        <v>18</v>
      </c>
      <c r="D2202" s="543" t="s">
        <v>20</v>
      </c>
      <c r="E2202" s="32" t="s">
        <v>18</v>
      </c>
      <c r="F2202" s="637"/>
    </row>
    <row r="2203" spans="1:12">
      <c r="A2203" s="9"/>
      <c r="B2203" s="282" t="s">
        <v>516</v>
      </c>
      <c r="C2203" s="45">
        <f>SUM(C2204+C2211)</f>
        <v>638.20000000000005</v>
      </c>
      <c r="D2203" s="41"/>
      <c r="E2203" s="7"/>
      <c r="F2203" s="638" t="s">
        <v>517</v>
      </c>
    </row>
    <row r="2204" spans="1:12">
      <c r="A2204" s="545" t="s">
        <v>11</v>
      </c>
      <c r="B2204" s="140" t="s">
        <v>12</v>
      </c>
      <c r="C2204" s="546">
        <f>SUM(C2205:C2210)</f>
        <v>359</v>
      </c>
      <c r="D2204" s="599" t="s">
        <v>72</v>
      </c>
      <c r="E2204" s="32" t="s">
        <v>9</v>
      </c>
      <c r="F2204" s="633"/>
    </row>
    <row r="2205" spans="1:12">
      <c r="A2205" s="545"/>
      <c r="B2205" s="537" t="s">
        <v>17</v>
      </c>
      <c r="C2205" s="544">
        <f>6.9+2.8+12.6+11.4+15.6+1.5+1.5+1.5+2.9+29.7</f>
        <v>86.399999999999991</v>
      </c>
      <c r="D2205" s="543" t="s">
        <v>15</v>
      </c>
      <c r="E2205" s="32" t="s">
        <v>18</v>
      </c>
      <c r="F2205" s="633"/>
    </row>
    <row r="2206" spans="1:12">
      <c r="A2206" s="545"/>
      <c r="B2206" s="537" t="s">
        <v>14</v>
      </c>
      <c r="C2206" s="544">
        <f>15+2.5+32.6</f>
        <v>50.1</v>
      </c>
      <c r="D2206" s="543" t="s">
        <v>15</v>
      </c>
      <c r="E2206" s="32" t="s">
        <v>18</v>
      </c>
      <c r="F2206" s="633"/>
    </row>
    <row r="2207" spans="1:12">
      <c r="A2207" s="545"/>
      <c r="B2207" s="537" t="s">
        <v>21</v>
      </c>
      <c r="C2207" s="544">
        <v>6</v>
      </c>
      <c r="D2207" s="543" t="s">
        <v>22</v>
      </c>
      <c r="E2207" s="32" t="s">
        <v>18</v>
      </c>
      <c r="F2207" s="633"/>
    </row>
    <row r="2208" spans="1:12">
      <c r="A2208" s="545"/>
      <c r="B2208" s="537" t="s">
        <v>71</v>
      </c>
      <c r="C2208" s="544">
        <f>52.5+46.1+35.2+34.2</f>
        <v>168</v>
      </c>
      <c r="D2208" s="543" t="s">
        <v>15</v>
      </c>
      <c r="E2208" s="32" t="s">
        <v>42</v>
      </c>
      <c r="F2208" s="633"/>
      <c r="L2208" s="2" t="s">
        <v>214</v>
      </c>
    </row>
    <row r="2209" spans="1:6">
      <c r="A2209" s="545"/>
      <c r="B2209" s="537" t="s">
        <v>45</v>
      </c>
      <c r="C2209" s="544">
        <f>5.9+4.9</f>
        <v>10.8</v>
      </c>
      <c r="D2209" s="543" t="s">
        <v>15</v>
      </c>
      <c r="E2209" s="32" t="s">
        <v>42</v>
      </c>
      <c r="F2209" s="633"/>
    </row>
    <row r="2210" spans="1:6">
      <c r="A2210" s="545"/>
      <c r="B2210" s="537" t="s">
        <v>47</v>
      </c>
      <c r="C2210" s="544">
        <f>17.9+19.8</f>
        <v>37.700000000000003</v>
      </c>
      <c r="D2210" s="543" t="s">
        <v>20</v>
      </c>
      <c r="E2210" s="32" t="s">
        <v>42</v>
      </c>
      <c r="F2210" s="633"/>
    </row>
    <row r="2211" spans="1:6">
      <c r="A2211" s="545" t="s">
        <v>29</v>
      </c>
      <c r="B2211" s="140" t="s">
        <v>30</v>
      </c>
      <c r="C2211" s="546">
        <f>SUM(C2212:C2214)</f>
        <v>279.2</v>
      </c>
      <c r="D2211" s="599" t="s">
        <v>72</v>
      </c>
      <c r="E2211" s="32" t="s">
        <v>9</v>
      </c>
      <c r="F2211" s="633"/>
    </row>
    <row r="2212" spans="1:6">
      <c r="A2212" s="545"/>
      <c r="B2212" s="537" t="s">
        <v>17</v>
      </c>
      <c r="C2212" s="544">
        <f>74.6+38.8+11.6+12.6+72.4+11.6</f>
        <v>221.6</v>
      </c>
      <c r="D2212" s="543" t="s">
        <v>15</v>
      </c>
      <c r="E2212" s="32" t="s">
        <v>18</v>
      </c>
      <c r="F2212" s="633"/>
    </row>
    <row r="2213" spans="1:6">
      <c r="A2213" s="545"/>
      <c r="B2213" s="537" t="s">
        <v>14</v>
      </c>
      <c r="C2213" s="544">
        <f>10.2+4.6</f>
        <v>14.799999999999999</v>
      </c>
      <c r="D2213" s="543" t="s">
        <v>15</v>
      </c>
      <c r="E2213" s="32" t="s">
        <v>18</v>
      </c>
      <c r="F2213" s="633"/>
    </row>
    <row r="2214" spans="1:6">
      <c r="A2214" s="13"/>
      <c r="B2214" s="141" t="s">
        <v>47</v>
      </c>
      <c r="C2214" s="22">
        <f>23.2+19.6</f>
        <v>42.8</v>
      </c>
      <c r="D2214" s="42" t="s">
        <v>20</v>
      </c>
      <c r="E2214" s="91" t="s">
        <v>18</v>
      </c>
      <c r="F2214" s="633"/>
    </row>
    <row r="2215" spans="1:6" ht="15.75">
      <c r="A2215" s="751" t="s">
        <v>518</v>
      </c>
      <c r="B2215" s="749"/>
      <c r="C2215" s="749"/>
      <c r="D2215" s="749"/>
      <c r="E2215" s="749"/>
      <c r="F2215" s="750"/>
    </row>
    <row r="2216" spans="1:6">
      <c r="A2216" s="9">
        <v>2</v>
      </c>
      <c r="B2216" s="282" t="s">
        <v>519</v>
      </c>
      <c r="C2216" s="23">
        <f>SUM(C2217+C2222)</f>
        <v>832.19999999999993</v>
      </c>
      <c r="D2216" s="540"/>
      <c r="E2216" s="602"/>
      <c r="F2216" s="638" t="s">
        <v>520</v>
      </c>
    </row>
    <row r="2217" spans="1:6">
      <c r="A2217" s="545"/>
      <c r="B2217" s="140" t="s">
        <v>157</v>
      </c>
      <c r="C2217" s="24">
        <f>SUM(C2218:C2221)</f>
        <v>146.5</v>
      </c>
      <c r="D2217" s="599" t="s">
        <v>72</v>
      </c>
      <c r="E2217" s="32" t="s">
        <v>9</v>
      </c>
      <c r="F2217" s="633"/>
    </row>
    <row r="2218" spans="1:6">
      <c r="A2218" s="545" t="s">
        <v>11</v>
      </c>
      <c r="B2218" s="537" t="s">
        <v>36</v>
      </c>
      <c r="C2218" s="541">
        <v>20.8</v>
      </c>
      <c r="D2218" s="543" t="s">
        <v>15</v>
      </c>
      <c r="E2218" s="603" t="s">
        <v>42</v>
      </c>
      <c r="F2218" s="633"/>
    </row>
    <row r="2219" spans="1:6">
      <c r="A2219" s="545"/>
      <c r="B2219" s="537" t="s">
        <v>17</v>
      </c>
      <c r="C2219" s="541">
        <v>55.3</v>
      </c>
      <c r="D2219" s="543" t="s">
        <v>15</v>
      </c>
      <c r="E2219" s="603" t="s">
        <v>18</v>
      </c>
      <c r="F2219" s="633"/>
    </row>
    <row r="2220" spans="1:6">
      <c r="A2220" s="545"/>
      <c r="B2220" s="537" t="s">
        <v>39</v>
      </c>
      <c r="C2220" s="541">
        <v>42.5</v>
      </c>
      <c r="D2220" s="543" t="s">
        <v>15</v>
      </c>
      <c r="E2220" s="603" t="s">
        <v>18</v>
      </c>
      <c r="F2220" s="633"/>
    </row>
    <row r="2221" spans="1:6">
      <c r="A2221" s="545"/>
      <c r="B2221" s="537" t="s">
        <v>47</v>
      </c>
      <c r="C2221" s="541">
        <v>27.9</v>
      </c>
      <c r="D2221" s="543" t="s">
        <v>22</v>
      </c>
      <c r="E2221" s="603" t="s">
        <v>18</v>
      </c>
      <c r="F2221" s="633"/>
    </row>
    <row r="2222" spans="1:6">
      <c r="A2222" s="545" t="s">
        <v>29</v>
      </c>
      <c r="B2222" s="140" t="s">
        <v>30</v>
      </c>
      <c r="C2222" s="18">
        <f>SUM(C2223:C2228)</f>
        <v>685.69999999999993</v>
      </c>
      <c r="D2222" s="599" t="s">
        <v>72</v>
      </c>
      <c r="E2222" s="32" t="s">
        <v>9</v>
      </c>
      <c r="F2222" s="633"/>
    </row>
    <row r="2223" spans="1:6">
      <c r="A2223" s="545"/>
      <c r="B2223" s="537" t="s">
        <v>17</v>
      </c>
      <c r="C2223" s="541">
        <v>333.9</v>
      </c>
      <c r="D2223" s="543" t="s">
        <v>15</v>
      </c>
      <c r="E2223" s="603" t="s">
        <v>18</v>
      </c>
      <c r="F2223" s="633"/>
    </row>
    <row r="2224" spans="1:6">
      <c r="A2224" s="545"/>
      <c r="B2224" s="537" t="s">
        <v>14</v>
      </c>
      <c r="C2224" s="541">
        <v>99.1</v>
      </c>
      <c r="D2224" s="543" t="s">
        <v>15</v>
      </c>
      <c r="E2224" s="603" t="s">
        <v>18</v>
      </c>
      <c r="F2224" s="633"/>
    </row>
    <row r="2225" spans="1:6">
      <c r="A2225" s="545"/>
      <c r="B2225" s="537" t="s">
        <v>47</v>
      </c>
      <c r="C2225" s="541">
        <v>24.4</v>
      </c>
      <c r="D2225" s="543" t="s">
        <v>15</v>
      </c>
      <c r="E2225" s="603" t="s">
        <v>18</v>
      </c>
      <c r="F2225" s="633"/>
    </row>
    <row r="2226" spans="1:6">
      <c r="A2226" s="545"/>
      <c r="B2226" s="537" t="s">
        <v>36</v>
      </c>
      <c r="C2226" s="541">
        <v>210.7</v>
      </c>
      <c r="D2226" s="543" t="s">
        <v>15</v>
      </c>
      <c r="E2226" s="603" t="s">
        <v>42</v>
      </c>
      <c r="F2226" s="633"/>
    </row>
    <row r="2227" spans="1:6">
      <c r="A2227" s="545"/>
      <c r="B2227" s="537" t="s">
        <v>19</v>
      </c>
      <c r="C2227" s="541">
        <v>11.7</v>
      </c>
      <c r="D2227" s="543" t="s">
        <v>15</v>
      </c>
      <c r="E2227" s="603" t="s">
        <v>18</v>
      </c>
      <c r="F2227" s="633"/>
    </row>
    <row r="2228" spans="1:6">
      <c r="A2228" s="13"/>
      <c r="B2228" s="141" t="s">
        <v>21</v>
      </c>
      <c r="C2228" s="43">
        <v>5.9</v>
      </c>
      <c r="D2228" s="42" t="s">
        <v>22</v>
      </c>
      <c r="E2228" s="43" t="s">
        <v>18</v>
      </c>
      <c r="F2228" s="637"/>
    </row>
    <row r="2229" spans="1:6" ht="15.75">
      <c r="A2229" s="759" t="s">
        <v>521</v>
      </c>
      <c r="B2229" s="760"/>
      <c r="C2229" s="760"/>
      <c r="D2229" s="760"/>
      <c r="E2229" s="760"/>
      <c r="F2229" s="761"/>
    </row>
    <row r="2230" spans="1:6" ht="15.75">
      <c r="A2230" s="9">
        <v>1</v>
      </c>
      <c r="B2230" s="282" t="s">
        <v>522</v>
      </c>
      <c r="C2230" s="164">
        <f>SUM(C2231+C2239)</f>
        <v>372.20000000000005</v>
      </c>
      <c r="D2230" s="540"/>
      <c r="E2230" s="17"/>
      <c r="F2230" s="634" t="s">
        <v>952</v>
      </c>
    </row>
    <row r="2231" spans="1:6">
      <c r="A2231" s="545" t="s">
        <v>11</v>
      </c>
      <c r="B2231" s="140" t="s">
        <v>12</v>
      </c>
      <c r="C2231" s="546">
        <f>SUM(C2232:C2238)</f>
        <v>106.20000000000002</v>
      </c>
      <c r="D2231" s="599" t="s">
        <v>72</v>
      </c>
      <c r="E2231" s="32" t="s">
        <v>9</v>
      </c>
      <c r="F2231" s="635"/>
    </row>
    <row r="2232" spans="1:6">
      <c r="A2232" s="545"/>
      <c r="B2232" s="537" t="s">
        <v>523</v>
      </c>
      <c r="C2232" s="544">
        <f>25.3</f>
        <v>25.3</v>
      </c>
      <c r="D2232" s="543" t="s">
        <v>15</v>
      </c>
      <c r="E2232" s="600" t="s">
        <v>18</v>
      </c>
      <c r="F2232" s="635"/>
    </row>
    <row r="2233" spans="1:6">
      <c r="A2233" s="545"/>
      <c r="B2233" s="537" t="s">
        <v>273</v>
      </c>
      <c r="C2233" s="544">
        <v>32.200000000000003</v>
      </c>
      <c r="D2233" s="543" t="s">
        <v>15</v>
      </c>
      <c r="E2233" s="600" t="s">
        <v>18</v>
      </c>
      <c r="F2233" s="635"/>
    </row>
    <row r="2234" spans="1:6">
      <c r="A2234" s="545"/>
      <c r="B2234" s="537" t="s">
        <v>524</v>
      </c>
      <c r="C2234" s="544">
        <v>20.7</v>
      </c>
      <c r="D2234" s="543" t="s">
        <v>15</v>
      </c>
      <c r="E2234" s="600" t="s">
        <v>18</v>
      </c>
      <c r="F2234" s="635"/>
    </row>
    <row r="2235" spans="1:6">
      <c r="A2235" s="545"/>
      <c r="B2235" s="537" t="s">
        <v>21</v>
      </c>
      <c r="C2235" s="544">
        <v>5.2</v>
      </c>
      <c r="D2235" s="543" t="s">
        <v>22</v>
      </c>
      <c r="E2235" s="600" t="s">
        <v>18</v>
      </c>
      <c r="F2235" s="635"/>
    </row>
    <row r="2236" spans="1:6">
      <c r="A2236" s="545"/>
      <c r="B2236" s="537" t="s">
        <v>39</v>
      </c>
      <c r="C2236" s="544">
        <v>2.7</v>
      </c>
      <c r="D2236" s="543" t="s">
        <v>15</v>
      </c>
      <c r="E2236" s="600" t="s">
        <v>18</v>
      </c>
      <c r="F2236" s="635"/>
    </row>
    <row r="2237" spans="1:6">
      <c r="A2237" s="545"/>
      <c r="B2237" s="537" t="s">
        <v>45</v>
      </c>
      <c r="C2237" s="544">
        <v>5.4</v>
      </c>
      <c r="D2237" s="543" t="s">
        <v>15</v>
      </c>
      <c r="E2237" s="600" t="s">
        <v>42</v>
      </c>
      <c r="F2237" s="635"/>
    </row>
    <row r="2238" spans="1:6">
      <c r="A2238" s="545"/>
      <c r="B2238" s="537" t="s">
        <v>26</v>
      </c>
      <c r="C2238" s="544">
        <v>14.7</v>
      </c>
      <c r="D2238" s="543" t="s">
        <v>15</v>
      </c>
      <c r="E2238" s="600" t="s">
        <v>42</v>
      </c>
      <c r="F2238" s="635"/>
    </row>
    <row r="2239" spans="1:6">
      <c r="A2239" s="545" t="s">
        <v>29</v>
      </c>
      <c r="B2239" s="140" t="s">
        <v>30</v>
      </c>
      <c r="C2239" s="546">
        <f>SUM(C2240:C2246)</f>
        <v>266</v>
      </c>
      <c r="D2239" s="599" t="s">
        <v>72</v>
      </c>
      <c r="E2239" s="32" t="s">
        <v>9</v>
      </c>
      <c r="F2239" s="635"/>
    </row>
    <row r="2240" spans="1:6">
      <c r="A2240" s="545"/>
      <c r="B2240" s="537" t="s">
        <v>17</v>
      </c>
      <c r="C2240" s="544">
        <v>101.8</v>
      </c>
      <c r="D2240" s="543" t="s">
        <v>15</v>
      </c>
      <c r="E2240" s="600" t="s">
        <v>18</v>
      </c>
      <c r="F2240" s="635"/>
    </row>
    <row r="2241" spans="1:6">
      <c r="A2241" s="545"/>
      <c r="B2241" s="537" t="s">
        <v>45</v>
      </c>
      <c r="C2241" s="544">
        <v>10.3</v>
      </c>
      <c r="D2241" s="543" t="s">
        <v>15</v>
      </c>
      <c r="E2241" s="600" t="s">
        <v>42</v>
      </c>
      <c r="F2241" s="635"/>
    </row>
    <row r="2242" spans="1:6">
      <c r="A2242" s="545"/>
      <c r="B2242" s="537" t="s">
        <v>40</v>
      </c>
      <c r="C2242" s="544">
        <v>9.6999999999999993</v>
      </c>
      <c r="D2242" s="543" t="s">
        <v>15</v>
      </c>
      <c r="E2242" s="600" t="s">
        <v>42</v>
      </c>
      <c r="F2242" s="635"/>
    </row>
    <row r="2243" spans="1:6">
      <c r="A2243" s="545"/>
      <c r="B2243" s="537" t="s">
        <v>14</v>
      </c>
      <c r="C2243" s="544">
        <v>33.6</v>
      </c>
      <c r="D2243" s="543" t="s">
        <v>15</v>
      </c>
      <c r="E2243" s="600" t="s">
        <v>18</v>
      </c>
      <c r="F2243" s="635"/>
    </row>
    <row r="2244" spans="1:6">
      <c r="A2244" s="545"/>
      <c r="B2244" s="537" t="s">
        <v>47</v>
      </c>
      <c r="C2244" s="544">
        <v>16.7</v>
      </c>
      <c r="D2244" s="543" t="s">
        <v>15</v>
      </c>
      <c r="E2244" s="600" t="s">
        <v>18</v>
      </c>
      <c r="F2244" s="635"/>
    </row>
    <row r="2245" spans="1:6">
      <c r="A2245" s="545"/>
      <c r="B2245" s="537" t="s">
        <v>36</v>
      </c>
      <c r="C2245" s="544">
        <v>75.7</v>
      </c>
      <c r="D2245" s="543" t="s">
        <v>15</v>
      </c>
      <c r="E2245" s="600" t="s">
        <v>18</v>
      </c>
      <c r="F2245" s="635"/>
    </row>
    <row r="2246" spans="1:6">
      <c r="A2246" s="545"/>
      <c r="B2246" s="537" t="s">
        <v>21</v>
      </c>
      <c r="C2246" s="544">
        <v>18.2</v>
      </c>
      <c r="D2246" s="543" t="s">
        <v>22</v>
      </c>
      <c r="E2246" s="600" t="s">
        <v>18</v>
      </c>
      <c r="F2246" s="635"/>
    </row>
    <row r="2247" spans="1:6">
      <c r="A2247" s="13"/>
      <c r="B2247" s="141"/>
      <c r="C2247" s="22"/>
      <c r="D2247" s="42"/>
      <c r="E2247" s="22"/>
      <c r="F2247" s="636"/>
    </row>
    <row r="2248" spans="1:6" ht="15.75">
      <c r="A2248" s="756" t="s">
        <v>525</v>
      </c>
      <c r="B2248" s="749"/>
      <c r="C2248" s="749"/>
      <c r="D2248" s="749"/>
      <c r="E2248" s="749"/>
      <c r="F2248" s="757"/>
    </row>
    <row r="2249" spans="1:6">
      <c r="A2249" s="9">
        <v>1</v>
      </c>
      <c r="B2249" s="282" t="s">
        <v>526</v>
      </c>
      <c r="C2249" s="45">
        <f>SUM(C2250+C2256)</f>
        <v>480.4</v>
      </c>
      <c r="D2249" s="540"/>
      <c r="E2249" s="17"/>
      <c r="F2249" s="762" t="s">
        <v>527</v>
      </c>
    </row>
    <row r="2250" spans="1:6">
      <c r="A2250" s="545" t="s">
        <v>11</v>
      </c>
      <c r="B2250" s="140" t="s">
        <v>12</v>
      </c>
      <c r="C2250" s="546">
        <f>SUM(C2251:C2255)</f>
        <v>171.80000000000004</v>
      </c>
      <c r="D2250" s="599" t="s">
        <v>72</v>
      </c>
      <c r="E2250" s="32" t="s">
        <v>9</v>
      </c>
      <c r="F2250" s="763"/>
    </row>
    <row r="2251" spans="1:6">
      <c r="A2251" s="545"/>
      <c r="B2251" s="537" t="s">
        <v>14</v>
      </c>
      <c r="C2251" s="544">
        <v>22.1</v>
      </c>
      <c r="D2251" s="543" t="s">
        <v>15</v>
      </c>
      <c r="E2251" s="600" t="s">
        <v>18</v>
      </c>
      <c r="F2251" s="763"/>
    </row>
    <row r="2252" spans="1:6">
      <c r="A2252" s="545"/>
      <c r="B2252" s="537" t="s">
        <v>217</v>
      </c>
      <c r="C2252" s="544">
        <v>71.2</v>
      </c>
      <c r="D2252" s="543" t="s">
        <v>15</v>
      </c>
      <c r="E2252" s="600" t="s">
        <v>18</v>
      </c>
      <c r="F2252" s="763"/>
    </row>
    <row r="2253" spans="1:6">
      <c r="A2253" s="545"/>
      <c r="B2253" s="537" t="s">
        <v>34</v>
      </c>
      <c r="C2253" s="544">
        <v>34.799999999999997</v>
      </c>
      <c r="D2253" s="543" t="s">
        <v>15</v>
      </c>
      <c r="E2253" s="600" t="s">
        <v>18</v>
      </c>
      <c r="F2253" s="763"/>
    </row>
    <row r="2254" spans="1:6">
      <c r="A2254" s="545"/>
      <c r="B2254" s="537" t="s">
        <v>47</v>
      </c>
      <c r="C2254" s="544">
        <v>15.9</v>
      </c>
      <c r="D2254" s="543" t="s">
        <v>20</v>
      </c>
      <c r="E2254" s="600" t="s">
        <v>18</v>
      </c>
      <c r="F2254" s="763"/>
    </row>
    <row r="2255" spans="1:6">
      <c r="A2255" s="545"/>
      <c r="B2255" s="537" t="s">
        <v>36</v>
      </c>
      <c r="C2255" s="544">
        <v>27.8</v>
      </c>
      <c r="D2255" s="543" t="s">
        <v>15</v>
      </c>
      <c r="E2255" s="600" t="s">
        <v>18</v>
      </c>
      <c r="F2255" s="763"/>
    </row>
    <row r="2256" spans="1:6">
      <c r="A2256" s="545" t="s">
        <v>29</v>
      </c>
      <c r="B2256" s="140" t="s">
        <v>30</v>
      </c>
      <c r="C2256" s="546">
        <f>SUM(C2257:C2262)</f>
        <v>308.59999999999997</v>
      </c>
      <c r="D2256" s="599" t="s">
        <v>72</v>
      </c>
      <c r="E2256" s="32" t="s">
        <v>9</v>
      </c>
      <c r="F2256" s="763"/>
    </row>
    <row r="2257" spans="1:6">
      <c r="A2257" s="545"/>
      <c r="B2257" s="537" t="s">
        <v>17</v>
      </c>
      <c r="C2257" s="544">
        <v>35.9</v>
      </c>
      <c r="D2257" s="543" t="s">
        <v>15</v>
      </c>
      <c r="E2257" s="600" t="s">
        <v>18</v>
      </c>
      <c r="F2257" s="763"/>
    </row>
    <row r="2258" spans="1:6">
      <c r="A2258" s="545"/>
      <c r="B2258" s="537" t="s">
        <v>14</v>
      </c>
      <c r="C2258" s="544">
        <v>39.700000000000003</v>
      </c>
      <c r="D2258" s="543" t="s">
        <v>15</v>
      </c>
      <c r="E2258" s="600" t="s">
        <v>18</v>
      </c>
      <c r="F2258" s="763"/>
    </row>
    <row r="2259" spans="1:6">
      <c r="A2259" s="545"/>
      <c r="B2259" s="537" t="s">
        <v>47</v>
      </c>
      <c r="C2259" s="544">
        <v>15.9</v>
      </c>
      <c r="D2259" s="543" t="s">
        <v>20</v>
      </c>
      <c r="E2259" s="600" t="s">
        <v>18</v>
      </c>
      <c r="F2259" s="763"/>
    </row>
    <row r="2260" spans="1:6">
      <c r="A2260" s="545"/>
      <c r="B2260" s="537" t="s">
        <v>36</v>
      </c>
      <c r="C2260" s="544">
        <v>178.4</v>
      </c>
      <c r="D2260" s="543" t="s">
        <v>15</v>
      </c>
      <c r="E2260" s="600" t="s">
        <v>18</v>
      </c>
      <c r="F2260" s="763"/>
    </row>
    <row r="2261" spans="1:6">
      <c r="A2261" s="545"/>
      <c r="B2261" s="537" t="s">
        <v>130</v>
      </c>
      <c r="C2261" s="544">
        <v>30.4</v>
      </c>
      <c r="D2261" s="543" t="s">
        <v>15</v>
      </c>
      <c r="E2261" s="600" t="s">
        <v>18</v>
      </c>
      <c r="F2261" s="763"/>
    </row>
    <row r="2262" spans="1:6">
      <c r="A2262" s="545"/>
      <c r="B2262" s="537" t="s">
        <v>40</v>
      </c>
      <c r="C2262" s="544">
        <v>8.3000000000000007</v>
      </c>
      <c r="D2262" s="543" t="s">
        <v>15</v>
      </c>
      <c r="E2262" s="600" t="s">
        <v>28</v>
      </c>
      <c r="F2262" s="764"/>
    </row>
    <row r="2263" spans="1:6">
      <c r="A2263" s="9"/>
      <c r="B2263" s="282" t="s">
        <v>528</v>
      </c>
      <c r="C2263" s="89">
        <f>C2264</f>
        <v>88.4</v>
      </c>
      <c r="D2263" s="540"/>
      <c r="E2263" s="17"/>
      <c r="F2263" s="634" t="s">
        <v>529</v>
      </c>
    </row>
    <row r="2264" spans="1:6">
      <c r="A2264" s="545" t="s">
        <v>11</v>
      </c>
      <c r="B2264" s="140" t="s">
        <v>157</v>
      </c>
      <c r="C2264" s="25">
        <f>SUM(C2265:C2267)</f>
        <v>88.4</v>
      </c>
      <c r="D2264" s="599" t="s">
        <v>72</v>
      </c>
      <c r="E2264" s="32" t="s">
        <v>9</v>
      </c>
      <c r="F2264" s="635"/>
    </row>
    <row r="2265" spans="1:6">
      <c r="A2265" s="545"/>
      <c r="B2265" s="537" t="s">
        <v>217</v>
      </c>
      <c r="C2265" s="544">
        <v>13.5</v>
      </c>
      <c r="D2265" s="543" t="s">
        <v>15</v>
      </c>
      <c r="E2265" s="600" t="s">
        <v>18</v>
      </c>
      <c r="F2265" s="635"/>
    </row>
    <row r="2266" spans="1:6">
      <c r="A2266" s="545"/>
      <c r="B2266" s="537" t="s">
        <v>36</v>
      </c>
      <c r="C2266" s="544">
        <v>70.7</v>
      </c>
      <c r="D2266" s="543" t="s">
        <v>15</v>
      </c>
      <c r="E2266" s="600" t="s">
        <v>18</v>
      </c>
      <c r="F2266" s="635"/>
    </row>
    <row r="2267" spans="1:6">
      <c r="A2267" s="545"/>
      <c r="B2267" s="537" t="s">
        <v>39</v>
      </c>
      <c r="C2267" s="544">
        <v>4.2</v>
      </c>
      <c r="D2267" s="543" t="s">
        <v>15</v>
      </c>
      <c r="E2267" s="600" t="s">
        <v>18</v>
      </c>
      <c r="F2267" s="635"/>
    </row>
    <row r="2268" spans="1:6">
      <c r="A2268" s="13"/>
      <c r="B2268" s="141" t="s">
        <v>982</v>
      </c>
      <c r="C2268" s="22"/>
      <c r="D2268" s="42"/>
      <c r="E2268" s="22"/>
      <c r="F2268" s="522"/>
    </row>
    <row r="2269" spans="1:6" ht="15.75">
      <c r="A2269" s="756" t="s">
        <v>530</v>
      </c>
      <c r="B2269" s="749"/>
      <c r="C2269" s="749"/>
      <c r="D2269" s="749"/>
      <c r="E2269" s="749"/>
      <c r="F2269" s="757"/>
    </row>
    <row r="2270" spans="1:6">
      <c r="A2270" s="9"/>
      <c r="B2270" s="282" t="s">
        <v>531</v>
      </c>
      <c r="C2270" s="89">
        <f>C2271+C2276+C2285</f>
        <v>872.6</v>
      </c>
      <c r="D2270" s="540"/>
      <c r="E2270" s="17"/>
      <c r="F2270" s="634" t="s">
        <v>532</v>
      </c>
    </row>
    <row r="2271" spans="1:6">
      <c r="A2271" s="545" t="s">
        <v>11</v>
      </c>
      <c r="B2271" s="140" t="s">
        <v>12</v>
      </c>
      <c r="C2271" s="546">
        <f>SUM(C2272:C2275)</f>
        <v>33.4</v>
      </c>
      <c r="D2271" s="599" t="s">
        <v>72</v>
      </c>
      <c r="E2271" s="32" t="s">
        <v>9</v>
      </c>
      <c r="F2271" s="635"/>
    </row>
    <row r="2272" spans="1:6">
      <c r="A2272" s="545"/>
      <c r="B2272" s="537" t="s">
        <v>533</v>
      </c>
      <c r="C2272" s="544">
        <v>2.6</v>
      </c>
      <c r="D2272" s="543" t="s">
        <v>27</v>
      </c>
      <c r="E2272" s="600" t="s">
        <v>18</v>
      </c>
      <c r="F2272" s="635"/>
    </row>
    <row r="2273" spans="1:6">
      <c r="A2273" s="545"/>
      <c r="B2273" s="537" t="s">
        <v>24</v>
      </c>
      <c r="C2273" s="544">
        <v>5.5</v>
      </c>
      <c r="D2273" s="543" t="s">
        <v>15</v>
      </c>
      <c r="E2273" s="600" t="s">
        <v>68</v>
      </c>
      <c r="F2273" s="635"/>
    </row>
    <row r="2274" spans="1:6">
      <c r="A2274" s="545"/>
      <c r="B2274" s="537" t="s">
        <v>47</v>
      </c>
      <c r="C2274" s="544">
        <v>13.9</v>
      </c>
      <c r="D2274" s="543" t="s">
        <v>27</v>
      </c>
      <c r="E2274" s="600" t="s">
        <v>18</v>
      </c>
      <c r="F2274" s="635"/>
    </row>
    <row r="2275" spans="1:6">
      <c r="A2275" s="545"/>
      <c r="B2275" s="537" t="s">
        <v>524</v>
      </c>
      <c r="C2275" s="544">
        <v>11.4</v>
      </c>
      <c r="D2275" s="543" t="s">
        <v>15</v>
      </c>
      <c r="E2275" s="600" t="s">
        <v>534</v>
      </c>
      <c r="F2275" s="635"/>
    </row>
    <row r="2276" spans="1:6">
      <c r="A2276" s="545" t="s">
        <v>29</v>
      </c>
      <c r="B2276" s="140" t="s">
        <v>30</v>
      </c>
      <c r="C2276" s="546">
        <f>SUM(C2277:C2284)</f>
        <v>648.6</v>
      </c>
      <c r="D2276" s="599" t="s">
        <v>72</v>
      </c>
      <c r="E2276" s="32" t="s">
        <v>9</v>
      </c>
      <c r="F2276" s="635"/>
    </row>
    <row r="2277" spans="1:6">
      <c r="A2277" s="545"/>
      <c r="B2277" s="537" t="s">
        <v>17</v>
      </c>
      <c r="C2277" s="544">
        <v>141.5</v>
      </c>
      <c r="D2277" s="543" t="s">
        <v>15</v>
      </c>
      <c r="E2277" s="600" t="s">
        <v>18</v>
      </c>
      <c r="F2277" s="635"/>
    </row>
    <row r="2278" spans="1:6">
      <c r="A2278" s="545"/>
      <c r="B2278" s="537" t="s">
        <v>14</v>
      </c>
      <c r="C2278" s="544">
        <v>38.9</v>
      </c>
      <c r="D2278" s="543" t="s">
        <v>27</v>
      </c>
      <c r="E2278" s="600" t="s">
        <v>18</v>
      </c>
      <c r="F2278" s="635"/>
    </row>
    <row r="2279" spans="1:6">
      <c r="A2279" s="545"/>
      <c r="B2279" s="537" t="s">
        <v>47</v>
      </c>
      <c r="C2279" s="544">
        <v>13.9</v>
      </c>
      <c r="D2279" s="543" t="s">
        <v>27</v>
      </c>
      <c r="E2279" s="600" t="s">
        <v>18</v>
      </c>
      <c r="F2279" s="635"/>
    </row>
    <row r="2280" spans="1:6">
      <c r="A2280" s="545"/>
      <c r="B2280" s="537" t="s">
        <v>36</v>
      </c>
      <c r="C2280" s="544">
        <v>139</v>
      </c>
      <c r="D2280" s="543" t="s">
        <v>15</v>
      </c>
      <c r="E2280" s="600" t="s">
        <v>18</v>
      </c>
      <c r="F2280" s="635"/>
    </row>
    <row r="2281" spans="1:6">
      <c r="A2281" s="545"/>
      <c r="B2281" s="537" t="s">
        <v>21</v>
      </c>
      <c r="C2281" s="544">
        <v>9.5</v>
      </c>
      <c r="D2281" s="543" t="s">
        <v>22</v>
      </c>
      <c r="E2281" s="600" t="s">
        <v>18</v>
      </c>
      <c r="F2281" s="635"/>
    </row>
    <row r="2282" spans="1:6">
      <c r="A2282" s="545"/>
      <c r="B2282" s="537" t="s">
        <v>75</v>
      </c>
      <c r="C2282" s="544">
        <v>49.5</v>
      </c>
      <c r="D2282" s="543" t="s">
        <v>15</v>
      </c>
      <c r="E2282" s="600" t="s">
        <v>68</v>
      </c>
      <c r="F2282" s="635"/>
    </row>
    <row r="2283" spans="1:6">
      <c r="A2283" s="545"/>
      <c r="B2283" s="537" t="s">
        <v>535</v>
      </c>
      <c r="C2283" s="544">
        <v>202.7</v>
      </c>
      <c r="D2283" s="543" t="s">
        <v>27</v>
      </c>
      <c r="E2283" s="600" t="s">
        <v>28</v>
      </c>
      <c r="F2283" s="635"/>
    </row>
    <row r="2284" spans="1:6">
      <c r="A2284" s="545"/>
      <c r="B2284" s="537" t="s">
        <v>535</v>
      </c>
      <c r="C2284" s="544">
        <v>53.6</v>
      </c>
      <c r="D2284" s="543" t="s">
        <v>15</v>
      </c>
      <c r="E2284" s="600" t="s">
        <v>18</v>
      </c>
      <c r="F2284" s="635"/>
    </row>
    <row r="2285" spans="1:6">
      <c r="A2285" s="545" t="s">
        <v>37</v>
      </c>
      <c r="B2285" s="139" t="s">
        <v>38</v>
      </c>
      <c r="C2285" s="25">
        <f>SUM(C2286:C2289)</f>
        <v>190.6</v>
      </c>
      <c r="D2285" s="599" t="s">
        <v>72</v>
      </c>
      <c r="E2285" s="32" t="s">
        <v>9</v>
      </c>
      <c r="F2285" s="635"/>
    </row>
    <row r="2286" spans="1:6">
      <c r="A2286" s="545"/>
      <c r="B2286" s="537" t="s">
        <v>47</v>
      </c>
      <c r="C2286" s="544">
        <v>13.9</v>
      </c>
      <c r="D2286" s="543" t="s">
        <v>27</v>
      </c>
      <c r="E2286" s="600" t="s">
        <v>18</v>
      </c>
      <c r="F2286" s="635"/>
    </row>
    <row r="2287" spans="1:6">
      <c r="A2287" s="545"/>
      <c r="B2287" s="537" t="s">
        <v>17</v>
      </c>
      <c r="C2287" s="544">
        <v>114.4</v>
      </c>
      <c r="D2287" s="543" t="s">
        <v>15</v>
      </c>
      <c r="E2287" s="600" t="s">
        <v>18</v>
      </c>
      <c r="F2287" s="635"/>
    </row>
    <row r="2288" spans="1:6">
      <c r="A2288" s="545"/>
      <c r="B2288" s="537" t="s">
        <v>39</v>
      </c>
      <c r="C2288" s="544">
        <v>51.1</v>
      </c>
      <c r="D2288" s="543" t="s">
        <v>27</v>
      </c>
      <c r="E2288" s="600" t="s">
        <v>18</v>
      </c>
      <c r="F2288" s="635"/>
    </row>
    <row r="2289" spans="1:6">
      <c r="A2289" s="13"/>
      <c r="B2289" s="141" t="s">
        <v>21</v>
      </c>
      <c r="C2289" s="544">
        <v>11.2</v>
      </c>
      <c r="D2289" s="543" t="s">
        <v>22</v>
      </c>
      <c r="E2289" s="600" t="s">
        <v>18</v>
      </c>
      <c r="F2289" s="636"/>
    </row>
    <row r="2290" spans="1:6">
      <c r="A2290" s="545"/>
      <c r="B2290" s="278"/>
      <c r="C2290" s="10">
        <f>C2291</f>
        <v>105.5</v>
      </c>
      <c r="D2290" s="540"/>
      <c r="E2290" s="7"/>
      <c r="F2290" s="633" t="s">
        <v>536</v>
      </c>
    </row>
    <row r="2291" spans="1:6">
      <c r="A2291" s="545"/>
      <c r="B2291" s="278" t="s">
        <v>12</v>
      </c>
      <c r="C2291" s="14">
        <f>SUM(C2292:C2297)</f>
        <v>105.5</v>
      </c>
      <c r="D2291" s="543" t="s">
        <v>72</v>
      </c>
      <c r="E2291" s="32" t="s">
        <v>9</v>
      </c>
      <c r="F2291" s="633"/>
    </row>
    <row r="2292" spans="1:6">
      <c r="A2292" s="545"/>
      <c r="B2292" s="266" t="s">
        <v>25</v>
      </c>
      <c r="C2292" s="538">
        <v>50.2</v>
      </c>
      <c r="D2292" s="543" t="s">
        <v>15</v>
      </c>
      <c r="E2292" s="32" t="s">
        <v>18</v>
      </c>
      <c r="F2292" s="633"/>
    </row>
    <row r="2293" spans="1:6">
      <c r="A2293" s="545"/>
      <c r="B2293" s="266" t="s">
        <v>537</v>
      </c>
      <c r="C2293" s="538">
        <v>2.2999999999999998</v>
      </c>
      <c r="D2293" s="543" t="s">
        <v>22</v>
      </c>
      <c r="E2293" s="32" t="s">
        <v>18</v>
      </c>
      <c r="F2293" s="633"/>
    </row>
    <row r="2294" spans="1:6">
      <c r="A2294" s="545"/>
      <c r="B2294" s="266" t="s">
        <v>39</v>
      </c>
      <c r="C2294" s="538">
        <v>3.8</v>
      </c>
      <c r="D2294" s="543" t="s">
        <v>27</v>
      </c>
      <c r="E2294" s="32" t="s">
        <v>18</v>
      </c>
      <c r="F2294" s="633"/>
    </row>
    <row r="2295" spans="1:6">
      <c r="A2295" s="545"/>
      <c r="B2295" s="266" t="s">
        <v>538</v>
      </c>
      <c r="C2295" s="538">
        <v>6.5</v>
      </c>
      <c r="D2295" s="543" t="s">
        <v>15</v>
      </c>
      <c r="E2295" s="32" t="s">
        <v>18</v>
      </c>
      <c r="F2295" s="633"/>
    </row>
    <row r="2296" spans="1:6">
      <c r="A2296" s="545"/>
      <c r="B2296" s="266" t="s">
        <v>539</v>
      </c>
      <c r="C2296" s="538">
        <v>14.6</v>
      </c>
      <c r="D2296" s="543" t="s">
        <v>27</v>
      </c>
      <c r="E2296" s="32" t="s">
        <v>42</v>
      </c>
      <c r="F2296" s="633"/>
    </row>
    <row r="2297" spans="1:6">
      <c r="A2297" s="13"/>
      <c r="B2297" s="279" t="s">
        <v>100</v>
      </c>
      <c r="C2297" s="547">
        <v>28.1</v>
      </c>
      <c r="D2297" s="42" t="s">
        <v>15</v>
      </c>
      <c r="E2297" s="91" t="s">
        <v>18</v>
      </c>
      <c r="F2297" s="633"/>
    </row>
    <row r="2298" spans="1:6" ht="15.75">
      <c r="A2298" s="748" t="s">
        <v>540</v>
      </c>
      <c r="B2298" s="755"/>
      <c r="C2298" s="749"/>
      <c r="D2298" s="749"/>
      <c r="E2298" s="749"/>
      <c r="F2298" s="758"/>
    </row>
    <row r="2299" spans="1:6">
      <c r="A2299" s="9">
        <v>1</v>
      </c>
      <c r="B2299" s="282" t="s">
        <v>541</v>
      </c>
      <c r="C2299" s="89">
        <f>C2300+C2308+C2312</f>
        <v>865.7</v>
      </c>
      <c r="D2299" s="540"/>
      <c r="E2299" s="17"/>
      <c r="F2299" s="634" t="s">
        <v>542</v>
      </c>
    </row>
    <row r="2300" spans="1:6">
      <c r="A2300" s="545" t="s">
        <v>11</v>
      </c>
      <c r="B2300" s="140" t="s">
        <v>12</v>
      </c>
      <c r="C2300" s="546">
        <f>SUM(C2301:C2307)</f>
        <v>446.82</v>
      </c>
      <c r="D2300" s="543" t="s">
        <v>72</v>
      </c>
      <c r="E2300" s="600" t="s">
        <v>9</v>
      </c>
      <c r="F2300" s="635"/>
    </row>
    <row r="2301" spans="1:6">
      <c r="A2301" s="545"/>
      <c r="B2301" s="537" t="s">
        <v>17</v>
      </c>
      <c r="C2301" s="544">
        <v>140.94</v>
      </c>
      <c r="D2301" s="543" t="s">
        <v>15</v>
      </c>
      <c r="E2301" s="600" t="s">
        <v>18</v>
      </c>
      <c r="F2301" s="635"/>
    </row>
    <row r="2302" spans="1:6">
      <c r="A2302" s="545"/>
      <c r="B2302" s="537" t="s">
        <v>14</v>
      </c>
      <c r="C2302" s="544">
        <v>63.3</v>
      </c>
      <c r="D2302" s="543" t="s">
        <v>15</v>
      </c>
      <c r="E2302" s="600" t="s">
        <v>543</v>
      </c>
      <c r="F2302" s="635"/>
    </row>
    <row r="2303" spans="1:6">
      <c r="A2303" s="545"/>
      <c r="B2303" s="537" t="s">
        <v>14</v>
      </c>
      <c r="C2303" s="544">
        <f>18.7+13.1+8.06+9.02</f>
        <v>48.879999999999995</v>
      </c>
      <c r="D2303" s="543" t="s">
        <v>15</v>
      </c>
      <c r="E2303" s="600" t="s">
        <v>18</v>
      </c>
      <c r="F2303" s="635"/>
    </row>
    <row r="2304" spans="1:6">
      <c r="A2304" s="545"/>
      <c r="B2304" s="537" t="s">
        <v>47</v>
      </c>
      <c r="C2304" s="544">
        <v>13.2</v>
      </c>
      <c r="D2304" s="543" t="s">
        <v>15</v>
      </c>
      <c r="E2304" s="600" t="s">
        <v>18</v>
      </c>
      <c r="F2304" s="635"/>
    </row>
    <row r="2305" spans="1:6">
      <c r="A2305" s="545"/>
      <c r="B2305" s="537" t="s">
        <v>36</v>
      </c>
      <c r="C2305" s="544">
        <v>30.8</v>
      </c>
      <c r="D2305" s="543" t="s">
        <v>15</v>
      </c>
      <c r="E2305" s="600" t="s">
        <v>543</v>
      </c>
      <c r="F2305" s="635"/>
    </row>
    <row r="2306" spans="1:6">
      <c r="A2306" s="545"/>
      <c r="B2306" s="537" t="s">
        <v>36</v>
      </c>
      <c r="C2306" s="544">
        <v>104.5</v>
      </c>
      <c r="D2306" s="543" t="s">
        <v>15</v>
      </c>
      <c r="E2306" s="600" t="s">
        <v>42</v>
      </c>
      <c r="F2306" s="635"/>
    </row>
    <row r="2307" spans="1:6">
      <c r="A2307" s="545"/>
      <c r="B2307" s="537" t="s">
        <v>544</v>
      </c>
      <c r="C2307" s="544">
        <v>45.2</v>
      </c>
      <c r="D2307" s="543" t="s">
        <v>15</v>
      </c>
      <c r="E2307" s="600" t="s">
        <v>150</v>
      </c>
      <c r="F2307" s="635"/>
    </row>
    <row r="2308" spans="1:6">
      <c r="A2308" s="545" t="s">
        <v>29</v>
      </c>
      <c r="B2308" s="140" t="s">
        <v>38</v>
      </c>
      <c r="C2308" s="546">
        <f>SUM(C2309:C2311)</f>
        <v>64.8</v>
      </c>
      <c r="D2308" s="599" t="s">
        <v>72</v>
      </c>
      <c r="E2308" s="600" t="s">
        <v>9</v>
      </c>
      <c r="F2308" s="635"/>
    </row>
    <row r="2309" spans="1:6" s="95" customFormat="1" ht="15.75">
      <c r="A2309" s="545"/>
      <c r="B2309" s="537" t="s">
        <v>14</v>
      </c>
      <c r="C2309" s="544">
        <v>41.9</v>
      </c>
      <c r="D2309" s="543" t="s">
        <v>15</v>
      </c>
      <c r="E2309" s="600" t="s">
        <v>18</v>
      </c>
      <c r="F2309" s="635"/>
    </row>
    <row r="2310" spans="1:6" s="95" customFormat="1" ht="15.75">
      <c r="A2310" s="545"/>
      <c r="B2310" s="537" t="s">
        <v>47</v>
      </c>
      <c r="C2310" s="544">
        <v>13.2</v>
      </c>
      <c r="D2310" s="543" t="s">
        <v>15</v>
      </c>
      <c r="E2310" s="600" t="s">
        <v>18</v>
      </c>
      <c r="F2310" s="635"/>
    </row>
    <row r="2311" spans="1:6">
      <c r="A2311" s="601"/>
      <c r="B2311" s="597" t="s">
        <v>21</v>
      </c>
      <c r="C2311" s="544">
        <v>9.6999999999999993</v>
      </c>
      <c r="D2311" s="543" t="s">
        <v>22</v>
      </c>
      <c r="E2311" s="600" t="s">
        <v>18</v>
      </c>
      <c r="F2311" s="635"/>
    </row>
    <row r="2312" spans="1:6">
      <c r="A2312" s="614" t="s">
        <v>37</v>
      </c>
      <c r="B2312" s="615" t="s">
        <v>30</v>
      </c>
      <c r="C2312" s="165">
        <f>SUM(C2313:C2316)</f>
        <v>354.08</v>
      </c>
      <c r="D2312" s="181" t="s">
        <v>72</v>
      </c>
      <c r="E2312" s="178" t="s">
        <v>9</v>
      </c>
      <c r="F2312" s="616"/>
    </row>
    <row r="2313" spans="1:6" ht="14.25">
      <c r="A2313" s="240"/>
      <c r="B2313" s="292" t="s">
        <v>17</v>
      </c>
      <c r="C2313" s="166">
        <v>275.77999999999997</v>
      </c>
      <c r="D2313" s="599" t="s">
        <v>15</v>
      </c>
      <c r="E2313" s="167" t="s">
        <v>18</v>
      </c>
      <c r="F2313" s="152"/>
    </row>
    <row r="2314" spans="1:6" ht="14.25">
      <c r="A2314" s="240"/>
      <c r="B2314" s="292" t="s">
        <v>39</v>
      </c>
      <c r="C2314" s="168">
        <v>43.8</v>
      </c>
      <c r="D2314" s="599" t="s">
        <v>15</v>
      </c>
      <c r="E2314" s="167" t="s">
        <v>18</v>
      </c>
      <c r="F2314" s="152" t="s">
        <v>545</v>
      </c>
    </row>
    <row r="2315" spans="1:6" ht="14.25">
      <c r="A2315" s="240"/>
      <c r="B2315" s="292" t="s">
        <v>546</v>
      </c>
      <c r="C2315" s="168">
        <f>9.2+15.4</f>
        <v>24.6</v>
      </c>
      <c r="D2315" s="599" t="s">
        <v>15</v>
      </c>
      <c r="E2315" s="32" t="s">
        <v>150</v>
      </c>
      <c r="F2315" s="152"/>
    </row>
    <row r="2316" spans="1:6" ht="14.25">
      <c r="A2316" s="241"/>
      <c r="B2316" s="293" t="s">
        <v>537</v>
      </c>
      <c r="C2316" s="591">
        <v>9.9</v>
      </c>
      <c r="D2316" s="169" t="s">
        <v>22</v>
      </c>
      <c r="E2316" s="592" t="s">
        <v>18</v>
      </c>
      <c r="F2316" s="154"/>
    </row>
    <row r="2317" spans="1:6" ht="15.75">
      <c r="A2317" s="487"/>
      <c r="B2317" s="488"/>
      <c r="C2317" s="170">
        <f>C2169++C2182+C2203+C2216+C2230+C2249+C2263+C2270+C2290+C2299</f>
        <v>5570.3</v>
      </c>
      <c r="D2317" s="489"/>
      <c r="E2317" s="490"/>
      <c r="F2317" s="491"/>
    </row>
    <row r="2318" spans="1:6" ht="15.75">
      <c r="A2318" s="712" t="s">
        <v>683</v>
      </c>
      <c r="B2318" s="713"/>
      <c r="C2318" s="713"/>
      <c r="D2318" s="713"/>
      <c r="E2318" s="713"/>
      <c r="F2318" s="714"/>
    </row>
    <row r="2319" spans="1:6">
      <c r="A2319" s="765" t="s">
        <v>547</v>
      </c>
      <c r="B2319" s="766"/>
      <c r="C2319" s="766"/>
      <c r="D2319" s="766"/>
      <c r="E2319" s="766"/>
      <c r="F2319" s="767"/>
    </row>
    <row r="2320" spans="1:6">
      <c r="A2320" s="177">
        <v>1</v>
      </c>
      <c r="B2320" s="210" t="s">
        <v>12</v>
      </c>
      <c r="C2320" s="552">
        <f>SUM(C2321:C2328)</f>
        <v>420.59999999999997</v>
      </c>
      <c r="D2320" s="181" t="s">
        <v>72</v>
      </c>
      <c r="E2320" s="178" t="s">
        <v>9</v>
      </c>
      <c r="F2320" s="175"/>
    </row>
    <row r="2321" spans="1:6">
      <c r="A2321" s="179"/>
      <c r="B2321" s="145" t="s">
        <v>17</v>
      </c>
      <c r="C2321" s="151">
        <v>29.5</v>
      </c>
      <c r="D2321" s="163" t="s">
        <v>15</v>
      </c>
      <c r="E2321" s="151" t="s">
        <v>18</v>
      </c>
      <c r="F2321" s="34"/>
    </row>
    <row r="2322" spans="1:6">
      <c r="A2322" s="179"/>
      <c r="B2322" s="145" t="s">
        <v>45</v>
      </c>
      <c r="C2322" s="151">
        <v>62</v>
      </c>
      <c r="D2322" s="163" t="s">
        <v>27</v>
      </c>
      <c r="E2322" s="151" t="s">
        <v>28</v>
      </c>
      <c r="F2322" s="34"/>
    </row>
    <row r="2323" spans="1:6">
      <c r="A2323" s="179"/>
      <c r="B2323" s="145" t="s">
        <v>548</v>
      </c>
      <c r="C2323" s="151">
        <v>9.5</v>
      </c>
      <c r="D2323" s="163" t="s">
        <v>27</v>
      </c>
      <c r="E2323" s="151" t="s">
        <v>42</v>
      </c>
      <c r="F2323" s="34"/>
    </row>
    <row r="2324" spans="1:6">
      <c r="A2324" s="179"/>
      <c r="B2324" s="145" t="s">
        <v>39</v>
      </c>
      <c r="C2324" s="151">
        <v>40.799999999999997</v>
      </c>
      <c r="D2324" s="163" t="s">
        <v>15</v>
      </c>
      <c r="E2324" s="151" t="s">
        <v>18</v>
      </c>
      <c r="F2324" s="34"/>
    </row>
    <row r="2325" spans="1:6">
      <c r="A2325" s="179"/>
      <c r="B2325" s="145" t="s">
        <v>549</v>
      </c>
      <c r="C2325" s="151">
        <v>205.2</v>
      </c>
      <c r="D2325" s="163" t="s">
        <v>27</v>
      </c>
      <c r="E2325" s="151" t="s">
        <v>68</v>
      </c>
      <c r="F2325" s="34"/>
    </row>
    <row r="2326" spans="1:6">
      <c r="A2326" s="179"/>
      <c r="B2326" s="145" t="s">
        <v>47</v>
      </c>
      <c r="C2326" s="151">
        <v>28.9</v>
      </c>
      <c r="D2326" s="163" t="s">
        <v>15</v>
      </c>
      <c r="E2326" s="151" t="s">
        <v>18</v>
      </c>
      <c r="F2326" s="34"/>
    </row>
    <row r="2327" spans="1:6">
      <c r="A2327" s="179"/>
      <c r="B2327" s="145" t="s">
        <v>458</v>
      </c>
      <c r="C2327" s="151">
        <v>7.9</v>
      </c>
      <c r="D2327" s="163" t="s">
        <v>15</v>
      </c>
      <c r="E2327" s="151" t="s">
        <v>18</v>
      </c>
      <c r="F2327" s="34"/>
    </row>
    <row r="2328" spans="1:6">
      <c r="A2328" s="179"/>
      <c r="B2328" s="145" t="s">
        <v>550</v>
      </c>
      <c r="C2328" s="151">
        <v>36.799999999999997</v>
      </c>
      <c r="D2328" s="163" t="s">
        <v>27</v>
      </c>
      <c r="E2328" s="151" t="s">
        <v>42</v>
      </c>
      <c r="F2328" s="34" t="s">
        <v>551</v>
      </c>
    </row>
    <row r="2329" spans="1:6">
      <c r="A2329" s="179"/>
      <c r="B2329" s="260" t="s">
        <v>30</v>
      </c>
      <c r="C2329" s="551">
        <f>SUM(C2330:C2340)</f>
        <v>468.40000000000003</v>
      </c>
      <c r="D2329" s="163" t="s">
        <v>72</v>
      </c>
      <c r="E2329" s="151" t="s">
        <v>9</v>
      </c>
      <c r="F2329" s="172"/>
    </row>
    <row r="2330" spans="1:6">
      <c r="A2330" s="179"/>
      <c r="B2330" s="145" t="s">
        <v>552</v>
      </c>
      <c r="C2330" s="151">
        <v>54.1</v>
      </c>
      <c r="D2330" s="163" t="s">
        <v>15</v>
      </c>
      <c r="E2330" s="151" t="s">
        <v>18</v>
      </c>
      <c r="F2330" s="172"/>
    </row>
    <row r="2331" spans="1:6">
      <c r="A2331" s="179"/>
      <c r="B2331" s="145" t="s">
        <v>553</v>
      </c>
      <c r="C2331" s="151">
        <v>253.2</v>
      </c>
      <c r="D2331" s="163" t="s">
        <v>15</v>
      </c>
      <c r="E2331" s="151" t="s">
        <v>18</v>
      </c>
      <c r="F2331" s="172"/>
    </row>
    <row r="2332" spans="1:6">
      <c r="A2332" s="179"/>
      <c r="B2332" s="145" t="s">
        <v>39</v>
      </c>
      <c r="C2332" s="151">
        <v>13.2</v>
      </c>
      <c r="D2332" s="163" t="s">
        <v>15</v>
      </c>
      <c r="E2332" s="151" t="s">
        <v>18</v>
      </c>
      <c r="F2332" s="172"/>
    </row>
    <row r="2333" spans="1:6">
      <c r="A2333" s="179"/>
      <c r="B2333" s="145" t="s">
        <v>130</v>
      </c>
      <c r="C2333" s="151">
        <v>27.3</v>
      </c>
      <c r="D2333" s="163" t="s">
        <v>15</v>
      </c>
      <c r="E2333" s="151" t="s">
        <v>18</v>
      </c>
      <c r="F2333" s="172"/>
    </row>
    <row r="2334" spans="1:6">
      <c r="A2334" s="179"/>
      <c r="B2334" s="145" t="s">
        <v>19</v>
      </c>
      <c r="C2334" s="151">
        <v>12.8</v>
      </c>
      <c r="D2334" s="163" t="s">
        <v>15</v>
      </c>
      <c r="E2334" s="151" t="s">
        <v>18</v>
      </c>
      <c r="F2334" s="172"/>
    </row>
    <row r="2335" spans="1:6">
      <c r="A2335" s="179"/>
      <c r="B2335" s="145" t="s">
        <v>554</v>
      </c>
      <c r="C2335" s="151">
        <v>22.2</v>
      </c>
      <c r="D2335" s="163" t="s">
        <v>15</v>
      </c>
      <c r="E2335" s="151" t="s">
        <v>18</v>
      </c>
      <c r="F2335" s="172"/>
    </row>
    <row r="2336" spans="1:6">
      <c r="A2336" s="179"/>
      <c r="B2336" s="145" t="s">
        <v>555</v>
      </c>
      <c r="C2336" s="151">
        <v>21.3</v>
      </c>
      <c r="D2336" s="163" t="s">
        <v>27</v>
      </c>
      <c r="E2336" s="151" t="s">
        <v>28</v>
      </c>
      <c r="F2336" s="172"/>
    </row>
    <row r="2337" spans="1:6">
      <c r="A2337" s="179"/>
      <c r="B2337" s="145" t="s">
        <v>481</v>
      </c>
      <c r="C2337" s="151">
        <v>23.3</v>
      </c>
      <c r="D2337" s="163" t="s">
        <v>27</v>
      </c>
      <c r="E2337" s="151" t="s">
        <v>42</v>
      </c>
      <c r="F2337" s="172"/>
    </row>
    <row r="2338" spans="1:6">
      <c r="A2338" s="179"/>
      <c r="B2338" s="145" t="s">
        <v>47</v>
      </c>
      <c r="C2338" s="151">
        <v>27.4</v>
      </c>
      <c r="D2338" s="163" t="s">
        <v>15</v>
      </c>
      <c r="E2338" s="151" t="s">
        <v>18</v>
      </c>
      <c r="F2338" s="172"/>
    </row>
    <row r="2339" spans="1:6">
      <c r="A2339" s="179"/>
      <c r="B2339" s="145" t="s">
        <v>556</v>
      </c>
      <c r="C2339" s="151">
        <v>1.5</v>
      </c>
      <c r="D2339" s="163" t="s">
        <v>15</v>
      </c>
      <c r="E2339" s="151" t="s">
        <v>18</v>
      </c>
      <c r="F2339" s="172"/>
    </row>
    <row r="2340" spans="1:6">
      <c r="A2340" s="179"/>
      <c r="B2340" s="145" t="s">
        <v>17</v>
      </c>
      <c r="C2340" s="151">
        <v>12.1</v>
      </c>
      <c r="D2340" s="163" t="s">
        <v>15</v>
      </c>
      <c r="E2340" s="151" t="s">
        <v>18</v>
      </c>
      <c r="F2340" s="172"/>
    </row>
    <row r="2341" spans="1:6">
      <c r="A2341" s="549"/>
      <c r="B2341" s="294" t="s">
        <v>58</v>
      </c>
      <c r="C2341" s="550">
        <f>SUM(C2320+C2329)</f>
        <v>889</v>
      </c>
      <c r="D2341" s="182"/>
      <c r="E2341" s="607"/>
      <c r="F2341" s="171"/>
    </row>
    <row r="2342" spans="1:6">
      <c r="A2342" s="765" t="s">
        <v>557</v>
      </c>
      <c r="B2342" s="766"/>
      <c r="C2342" s="766"/>
      <c r="D2342" s="766"/>
      <c r="E2342" s="766"/>
      <c r="F2342" s="767"/>
    </row>
    <row r="2343" spans="1:6">
      <c r="A2343" s="177"/>
      <c r="B2343" s="210" t="s">
        <v>558</v>
      </c>
      <c r="C2343" s="552">
        <f>SUM(C2344:C2356)</f>
        <v>516.19999999999993</v>
      </c>
      <c r="D2343" s="181" t="s">
        <v>72</v>
      </c>
      <c r="E2343" s="178" t="s">
        <v>9</v>
      </c>
      <c r="F2343" s="173"/>
    </row>
    <row r="2344" spans="1:6">
      <c r="A2344" s="179"/>
      <c r="B2344" s="145" t="s">
        <v>39</v>
      </c>
      <c r="C2344" s="151">
        <v>46.6</v>
      </c>
      <c r="D2344" s="163" t="s">
        <v>15</v>
      </c>
      <c r="E2344" s="151" t="s">
        <v>18</v>
      </c>
      <c r="F2344" s="172"/>
    </row>
    <row r="2345" spans="1:6">
      <c r="A2345" s="179"/>
      <c r="B2345" s="145" t="s">
        <v>24</v>
      </c>
      <c r="C2345" s="151">
        <v>26.9</v>
      </c>
      <c r="D2345" s="163" t="s">
        <v>27</v>
      </c>
      <c r="E2345" s="151" t="s">
        <v>28</v>
      </c>
      <c r="F2345" s="172"/>
    </row>
    <row r="2346" spans="1:6">
      <c r="A2346" s="179"/>
      <c r="B2346" s="145" t="s">
        <v>559</v>
      </c>
      <c r="C2346" s="151">
        <v>243.7</v>
      </c>
      <c r="D2346" s="163" t="s">
        <v>27</v>
      </c>
      <c r="E2346" s="151" t="s">
        <v>68</v>
      </c>
      <c r="F2346" s="172"/>
    </row>
    <row r="2347" spans="1:6">
      <c r="A2347" s="179"/>
      <c r="B2347" s="145" t="s">
        <v>560</v>
      </c>
      <c r="C2347" s="151">
        <v>15.6</v>
      </c>
      <c r="D2347" s="163" t="s">
        <v>27</v>
      </c>
      <c r="E2347" s="151" t="s">
        <v>68</v>
      </c>
      <c r="F2347" s="172"/>
    </row>
    <row r="2348" spans="1:6">
      <c r="A2348" s="179"/>
      <c r="B2348" s="145" t="s">
        <v>47</v>
      </c>
      <c r="C2348" s="151">
        <v>54</v>
      </c>
      <c r="D2348" s="163" t="s">
        <v>15</v>
      </c>
      <c r="E2348" s="151" t="s">
        <v>18</v>
      </c>
      <c r="F2348" s="172"/>
    </row>
    <row r="2349" spans="1:6">
      <c r="A2349" s="179"/>
      <c r="B2349" s="145" t="s">
        <v>561</v>
      </c>
      <c r="C2349" s="151">
        <v>14.2</v>
      </c>
      <c r="D2349" s="163">
        <v>3</v>
      </c>
      <c r="E2349" s="151" t="s">
        <v>28</v>
      </c>
      <c r="F2349" s="172"/>
    </row>
    <row r="2350" spans="1:6">
      <c r="A2350" s="179"/>
      <c r="B2350" s="145" t="s">
        <v>562</v>
      </c>
      <c r="C2350" s="151">
        <v>12.1</v>
      </c>
      <c r="D2350" s="163" t="s">
        <v>15</v>
      </c>
      <c r="E2350" s="151" t="s">
        <v>18</v>
      </c>
      <c r="F2350" s="172"/>
    </row>
    <row r="2351" spans="1:6">
      <c r="A2351" s="179"/>
      <c r="B2351" s="145" t="s">
        <v>563</v>
      </c>
      <c r="C2351" s="151">
        <v>23.4</v>
      </c>
      <c r="D2351" s="163" t="s">
        <v>15</v>
      </c>
      <c r="E2351" s="151" t="s">
        <v>42</v>
      </c>
      <c r="F2351" s="172"/>
    </row>
    <row r="2352" spans="1:6">
      <c r="A2352" s="179"/>
      <c r="B2352" s="145" t="s">
        <v>46</v>
      </c>
      <c r="C2352" s="151">
        <v>29.8</v>
      </c>
      <c r="D2352" s="163" t="s">
        <v>27</v>
      </c>
      <c r="E2352" s="151" t="s">
        <v>28</v>
      </c>
      <c r="F2352" s="172"/>
    </row>
    <row r="2353" spans="1:6">
      <c r="A2353" s="179"/>
      <c r="B2353" s="145" t="s">
        <v>548</v>
      </c>
      <c r="C2353" s="151">
        <v>14.9</v>
      </c>
      <c r="D2353" s="163" t="s">
        <v>27</v>
      </c>
      <c r="E2353" s="151" t="s">
        <v>28</v>
      </c>
      <c r="F2353" s="172"/>
    </row>
    <row r="2354" spans="1:6">
      <c r="A2354" s="179"/>
      <c r="B2354" s="145" t="s">
        <v>564</v>
      </c>
      <c r="C2354" s="151">
        <v>14.4</v>
      </c>
      <c r="D2354" s="163" t="s">
        <v>15</v>
      </c>
      <c r="E2354" s="151" t="s">
        <v>18</v>
      </c>
      <c r="F2354" s="172"/>
    </row>
    <row r="2355" spans="1:6">
      <c r="A2355" s="179"/>
      <c r="B2355" s="145" t="s">
        <v>565</v>
      </c>
      <c r="C2355" s="151">
        <v>13.8</v>
      </c>
      <c r="D2355" s="163" t="s">
        <v>15</v>
      </c>
      <c r="E2355" s="151" t="s">
        <v>18</v>
      </c>
      <c r="F2355" s="34" t="s">
        <v>566</v>
      </c>
    </row>
    <row r="2356" spans="1:6">
      <c r="A2356" s="179"/>
      <c r="B2356" s="145" t="s">
        <v>343</v>
      </c>
      <c r="C2356" s="151">
        <v>6.8</v>
      </c>
      <c r="D2356" s="163" t="s">
        <v>15</v>
      </c>
      <c r="E2356" s="151" t="s">
        <v>18</v>
      </c>
      <c r="F2356" s="172"/>
    </row>
    <row r="2357" spans="1:6">
      <c r="A2357" s="179"/>
      <c r="B2357" s="260" t="s">
        <v>30</v>
      </c>
      <c r="C2357" s="551">
        <f>SUM(C2358:C2367)</f>
        <v>548.29999999999995</v>
      </c>
      <c r="D2357" s="163" t="s">
        <v>72</v>
      </c>
      <c r="E2357" s="151" t="s">
        <v>9</v>
      </c>
      <c r="F2357" s="172"/>
    </row>
    <row r="2358" spans="1:6">
      <c r="A2358" s="179"/>
      <c r="B2358" s="145" t="s">
        <v>390</v>
      </c>
      <c r="C2358" s="151">
        <v>19.100000000000001</v>
      </c>
      <c r="D2358" s="163" t="s">
        <v>27</v>
      </c>
      <c r="E2358" s="151" t="s">
        <v>68</v>
      </c>
      <c r="F2358" s="172"/>
    </row>
    <row r="2359" spans="1:6">
      <c r="A2359" s="179"/>
      <c r="B2359" s="145" t="s">
        <v>567</v>
      </c>
      <c r="C2359" s="151">
        <v>42.8</v>
      </c>
      <c r="D2359" s="163" t="s">
        <v>15</v>
      </c>
      <c r="E2359" s="151" t="s">
        <v>18</v>
      </c>
      <c r="F2359" s="172"/>
    </row>
    <row r="2360" spans="1:6">
      <c r="A2360" s="179"/>
      <c r="B2360" s="145" t="s">
        <v>39</v>
      </c>
      <c r="C2360" s="151">
        <v>37.799999999999997</v>
      </c>
      <c r="D2360" s="163" t="s">
        <v>15</v>
      </c>
      <c r="E2360" s="151" t="s">
        <v>18</v>
      </c>
      <c r="F2360" s="172"/>
    </row>
    <row r="2361" spans="1:6">
      <c r="A2361" s="179"/>
      <c r="B2361" s="145" t="s">
        <v>568</v>
      </c>
      <c r="C2361" s="151">
        <v>33.200000000000003</v>
      </c>
      <c r="D2361" s="163">
        <v>3</v>
      </c>
      <c r="E2361" s="151" t="s">
        <v>28</v>
      </c>
      <c r="F2361" s="172"/>
    </row>
    <row r="2362" spans="1:6">
      <c r="A2362" s="179"/>
      <c r="B2362" s="145" t="s">
        <v>569</v>
      </c>
      <c r="C2362" s="151">
        <v>2</v>
      </c>
      <c r="D2362" s="163" t="s">
        <v>15</v>
      </c>
      <c r="E2362" s="151" t="s">
        <v>18</v>
      </c>
      <c r="F2362" s="172"/>
    </row>
    <row r="2363" spans="1:6">
      <c r="A2363" s="179"/>
      <c r="B2363" s="145" t="s">
        <v>570</v>
      </c>
      <c r="C2363" s="151">
        <v>220.3</v>
      </c>
      <c r="D2363" s="163" t="s">
        <v>15</v>
      </c>
      <c r="E2363" s="151" t="s">
        <v>18</v>
      </c>
      <c r="F2363" s="172"/>
    </row>
    <row r="2364" spans="1:6">
      <c r="A2364" s="179"/>
      <c r="B2364" s="145" t="s">
        <v>571</v>
      </c>
      <c r="C2364" s="151">
        <v>32.200000000000003</v>
      </c>
      <c r="D2364" s="163" t="s">
        <v>15</v>
      </c>
      <c r="E2364" s="151" t="s">
        <v>18</v>
      </c>
      <c r="F2364" s="172"/>
    </row>
    <row r="2365" spans="1:6">
      <c r="A2365" s="179"/>
      <c r="B2365" s="145" t="s">
        <v>17</v>
      </c>
      <c r="C2365" s="151">
        <v>72.7</v>
      </c>
      <c r="D2365" s="163" t="s">
        <v>15</v>
      </c>
      <c r="E2365" s="151" t="s">
        <v>18</v>
      </c>
      <c r="F2365" s="172"/>
    </row>
    <row r="2366" spans="1:6">
      <c r="A2366" s="179"/>
      <c r="B2366" s="145" t="s">
        <v>572</v>
      </c>
      <c r="C2366" s="151">
        <v>85.4</v>
      </c>
      <c r="D2366" s="163" t="s">
        <v>15</v>
      </c>
      <c r="E2366" s="151" t="s">
        <v>18</v>
      </c>
      <c r="F2366" s="172"/>
    </row>
    <row r="2367" spans="1:6">
      <c r="A2367" s="179"/>
      <c r="B2367" s="145" t="s">
        <v>573</v>
      </c>
      <c r="C2367" s="151">
        <v>2.8</v>
      </c>
      <c r="D2367" s="163" t="s">
        <v>15</v>
      </c>
      <c r="E2367" s="151" t="s">
        <v>18</v>
      </c>
      <c r="F2367" s="172"/>
    </row>
    <row r="2368" spans="1:6">
      <c r="A2368" s="90"/>
      <c r="B2368" s="158" t="s">
        <v>58</v>
      </c>
      <c r="C2368" s="550">
        <f>SUM(C2343+C2357)</f>
        <v>1064.5</v>
      </c>
      <c r="D2368" s="94"/>
      <c r="E2368" s="153"/>
      <c r="F2368" s="183"/>
    </row>
    <row r="2369" spans="1:6">
      <c r="A2369" s="768" t="s">
        <v>574</v>
      </c>
      <c r="B2369" s="769"/>
      <c r="C2369" s="769"/>
      <c r="D2369" s="769"/>
      <c r="E2369" s="769"/>
      <c r="F2369" s="770"/>
    </row>
    <row r="2370" spans="1:6">
      <c r="A2370" s="184"/>
      <c r="B2370" s="282" t="s">
        <v>30</v>
      </c>
      <c r="C2370" s="552">
        <f>SUM(C2371:C2377)</f>
        <v>529.09999999999991</v>
      </c>
      <c r="D2370" s="181" t="s">
        <v>72</v>
      </c>
      <c r="E2370" s="178" t="s">
        <v>9</v>
      </c>
      <c r="F2370" s="187"/>
    </row>
    <row r="2371" spans="1:6">
      <c r="A2371" s="185"/>
      <c r="B2371" s="537" t="s">
        <v>575</v>
      </c>
      <c r="C2371" s="151">
        <v>388</v>
      </c>
      <c r="D2371" s="163" t="s">
        <v>15</v>
      </c>
      <c r="E2371" s="151" t="s">
        <v>18</v>
      </c>
      <c r="F2371" s="188"/>
    </row>
    <row r="2372" spans="1:6">
      <c r="A2372" s="185"/>
      <c r="B2372" s="537" t="s">
        <v>576</v>
      </c>
      <c r="C2372" s="151">
        <v>38.5</v>
      </c>
      <c r="D2372" s="163" t="s">
        <v>15</v>
      </c>
      <c r="E2372" s="151" t="s">
        <v>18</v>
      </c>
      <c r="F2372" s="188"/>
    </row>
    <row r="2373" spans="1:6">
      <c r="A2373" s="185"/>
      <c r="B2373" s="537" t="s">
        <v>17</v>
      </c>
      <c r="C2373" s="151">
        <v>50.8</v>
      </c>
      <c r="D2373" s="163" t="s">
        <v>15</v>
      </c>
      <c r="E2373" s="151" t="s">
        <v>18</v>
      </c>
      <c r="F2373" s="188"/>
    </row>
    <row r="2374" spans="1:6">
      <c r="A2374" s="185"/>
      <c r="B2374" s="537" t="s">
        <v>45</v>
      </c>
      <c r="C2374" s="151">
        <v>10</v>
      </c>
      <c r="D2374" s="163" t="s">
        <v>27</v>
      </c>
      <c r="E2374" s="151" t="s">
        <v>28</v>
      </c>
      <c r="F2374" s="188"/>
    </row>
    <row r="2375" spans="1:6">
      <c r="A2375" s="185"/>
      <c r="B2375" s="537" t="s">
        <v>21</v>
      </c>
      <c r="C2375" s="151">
        <v>3</v>
      </c>
      <c r="D2375" s="163" t="s">
        <v>15</v>
      </c>
      <c r="E2375" s="151" t="s">
        <v>18</v>
      </c>
      <c r="F2375" s="188"/>
    </row>
    <row r="2376" spans="1:6">
      <c r="A2376" s="185"/>
      <c r="B2376" s="537" t="s">
        <v>577</v>
      </c>
      <c r="C2376" s="151">
        <v>28</v>
      </c>
      <c r="D2376" s="163" t="s">
        <v>15</v>
      </c>
      <c r="E2376" s="151" t="s">
        <v>18</v>
      </c>
      <c r="F2376" s="188"/>
    </row>
    <row r="2377" spans="1:6">
      <c r="A2377" s="185"/>
      <c r="B2377" s="537" t="s">
        <v>47</v>
      </c>
      <c r="C2377" s="151">
        <v>10.8</v>
      </c>
      <c r="D2377" s="163" t="s">
        <v>15</v>
      </c>
      <c r="E2377" s="151" t="s">
        <v>18</v>
      </c>
      <c r="F2377" s="188"/>
    </row>
    <row r="2378" spans="1:6">
      <c r="A2378" s="185"/>
      <c r="B2378" s="140" t="s">
        <v>12</v>
      </c>
      <c r="C2378" s="551">
        <f>SUM(C2379:C2386)</f>
        <v>683.5</v>
      </c>
      <c r="D2378" s="163" t="s">
        <v>72</v>
      </c>
      <c r="E2378" s="151" t="s">
        <v>9</v>
      </c>
      <c r="F2378" s="92" t="s">
        <v>684</v>
      </c>
    </row>
    <row r="2379" spans="1:6">
      <c r="A2379" s="185"/>
      <c r="B2379" s="537" t="s">
        <v>17</v>
      </c>
      <c r="C2379" s="151">
        <v>90</v>
      </c>
      <c r="D2379" s="163" t="s">
        <v>15</v>
      </c>
      <c r="E2379" s="151" t="s">
        <v>18</v>
      </c>
      <c r="F2379" s="188"/>
    </row>
    <row r="2380" spans="1:6">
      <c r="A2380" s="185"/>
      <c r="B2380" s="537" t="s">
        <v>14</v>
      </c>
      <c r="C2380" s="151">
        <v>63</v>
      </c>
      <c r="D2380" s="163" t="s">
        <v>15</v>
      </c>
      <c r="E2380" s="151" t="s">
        <v>18</v>
      </c>
      <c r="F2380" s="188"/>
    </row>
    <row r="2381" spans="1:6">
      <c r="A2381" s="185"/>
      <c r="B2381" s="537" t="s">
        <v>21</v>
      </c>
      <c r="C2381" s="151">
        <v>5</v>
      </c>
      <c r="D2381" s="163" t="s">
        <v>15</v>
      </c>
      <c r="E2381" s="151" t="s">
        <v>18</v>
      </c>
      <c r="F2381" s="188"/>
    </row>
    <row r="2382" spans="1:6">
      <c r="A2382" s="185"/>
      <c r="B2382" s="537" t="s">
        <v>559</v>
      </c>
      <c r="C2382" s="151">
        <v>430</v>
      </c>
      <c r="D2382" s="163" t="s">
        <v>27</v>
      </c>
      <c r="E2382" s="151" t="s">
        <v>68</v>
      </c>
      <c r="F2382" s="188"/>
    </row>
    <row r="2383" spans="1:6">
      <c r="A2383" s="185"/>
      <c r="B2383" s="537" t="s">
        <v>569</v>
      </c>
      <c r="C2383" s="151">
        <v>3.5</v>
      </c>
      <c r="D2383" s="163" t="s">
        <v>15</v>
      </c>
      <c r="E2383" s="151" t="s">
        <v>18</v>
      </c>
      <c r="F2383" s="188"/>
    </row>
    <row r="2384" spans="1:6">
      <c r="A2384" s="185"/>
      <c r="B2384" s="537" t="s">
        <v>578</v>
      </c>
      <c r="C2384" s="151">
        <v>12</v>
      </c>
      <c r="D2384" s="163" t="s">
        <v>27</v>
      </c>
      <c r="E2384" s="151" t="s">
        <v>28</v>
      </c>
      <c r="F2384" s="188"/>
    </row>
    <row r="2385" spans="1:6">
      <c r="A2385" s="185"/>
      <c r="B2385" s="537" t="s">
        <v>40</v>
      </c>
      <c r="C2385" s="151">
        <v>30</v>
      </c>
      <c r="D2385" s="163" t="s">
        <v>27</v>
      </c>
      <c r="E2385" s="151" t="s">
        <v>28</v>
      </c>
      <c r="F2385" s="188"/>
    </row>
    <row r="2386" spans="1:6">
      <c r="A2386" s="185"/>
      <c r="B2386" s="537" t="s">
        <v>579</v>
      </c>
      <c r="C2386" s="151">
        <v>50</v>
      </c>
      <c r="D2386" s="163" t="s">
        <v>15</v>
      </c>
      <c r="E2386" s="151" t="s">
        <v>42</v>
      </c>
      <c r="F2386" s="188"/>
    </row>
    <row r="2387" spans="1:6">
      <c r="A2387" s="186"/>
      <c r="B2387" s="158" t="s">
        <v>58</v>
      </c>
      <c r="C2387" s="550">
        <f>C2370+C2378</f>
        <v>1212.5999999999999</v>
      </c>
      <c r="D2387" s="612"/>
      <c r="E2387" s="200"/>
      <c r="F2387" s="189"/>
    </row>
    <row r="2388" spans="1:6">
      <c r="A2388" s="765" t="s">
        <v>580</v>
      </c>
      <c r="B2388" s="766"/>
      <c r="C2388" s="766"/>
      <c r="D2388" s="766"/>
      <c r="E2388" s="766"/>
      <c r="F2388" s="767"/>
    </row>
    <row r="2389" spans="1:6">
      <c r="A2389" s="184"/>
      <c r="B2389" s="282" t="s">
        <v>558</v>
      </c>
      <c r="C2389" s="552">
        <f>SUM(C2390:C2400)</f>
        <v>283.40000000000003</v>
      </c>
      <c r="D2389" s="181" t="s">
        <v>72</v>
      </c>
      <c r="E2389" s="178" t="s">
        <v>9</v>
      </c>
      <c r="F2389" s="191"/>
    </row>
    <row r="2390" spans="1:6">
      <c r="A2390" s="185"/>
      <c r="B2390" s="537" t="s">
        <v>458</v>
      </c>
      <c r="C2390" s="151">
        <v>3.3</v>
      </c>
      <c r="D2390" s="163" t="s">
        <v>15</v>
      </c>
      <c r="E2390" s="151" t="s">
        <v>582</v>
      </c>
      <c r="F2390" s="92"/>
    </row>
    <row r="2391" spans="1:6">
      <c r="A2391" s="185"/>
      <c r="B2391" s="537" t="s">
        <v>14</v>
      </c>
      <c r="C2391" s="151">
        <v>38.299999999999997</v>
      </c>
      <c r="D2391" s="163" t="s">
        <v>15</v>
      </c>
      <c r="E2391" s="151" t="s">
        <v>582</v>
      </c>
      <c r="F2391" s="92"/>
    </row>
    <row r="2392" spans="1:6">
      <c r="A2392" s="185"/>
      <c r="B2392" s="537" t="s">
        <v>130</v>
      </c>
      <c r="C2392" s="151">
        <v>11.3</v>
      </c>
      <c r="D2392" s="163" t="s">
        <v>15</v>
      </c>
      <c r="E2392" s="151" t="s">
        <v>582</v>
      </c>
      <c r="F2392" s="92"/>
    </row>
    <row r="2393" spans="1:6">
      <c r="A2393" s="185"/>
      <c r="B2393" s="537" t="s">
        <v>481</v>
      </c>
      <c r="C2393" s="151">
        <v>33.6</v>
      </c>
      <c r="D2393" s="163" t="s">
        <v>15</v>
      </c>
      <c r="E2393" s="151" t="s">
        <v>582</v>
      </c>
      <c r="F2393" s="92"/>
    </row>
    <row r="2394" spans="1:6">
      <c r="A2394" s="185"/>
      <c r="B2394" s="537" t="s">
        <v>578</v>
      </c>
      <c r="C2394" s="151">
        <v>10.9</v>
      </c>
      <c r="D2394" s="163" t="s">
        <v>15</v>
      </c>
      <c r="E2394" s="151" t="s">
        <v>28</v>
      </c>
      <c r="F2394" s="92"/>
    </row>
    <row r="2395" spans="1:6">
      <c r="A2395" s="185"/>
      <c r="B2395" s="537" t="s">
        <v>583</v>
      </c>
      <c r="C2395" s="151">
        <v>15.4</v>
      </c>
      <c r="D2395" s="163" t="s">
        <v>15</v>
      </c>
      <c r="E2395" s="151" t="s">
        <v>582</v>
      </c>
      <c r="F2395" s="92"/>
    </row>
    <row r="2396" spans="1:6">
      <c r="A2396" s="185"/>
      <c r="B2396" s="537" t="s">
        <v>584</v>
      </c>
      <c r="C2396" s="151">
        <v>73.900000000000006</v>
      </c>
      <c r="D2396" s="163" t="s">
        <v>15</v>
      </c>
      <c r="E2396" s="151" t="s">
        <v>582</v>
      </c>
      <c r="F2396" s="92"/>
    </row>
    <row r="2397" spans="1:6">
      <c r="A2397" s="185"/>
      <c r="B2397" s="537" t="s">
        <v>585</v>
      </c>
      <c r="C2397" s="151">
        <v>35</v>
      </c>
      <c r="D2397" s="163" t="s">
        <v>15</v>
      </c>
      <c r="E2397" s="151" t="s">
        <v>582</v>
      </c>
      <c r="F2397" s="92"/>
    </row>
    <row r="2398" spans="1:6">
      <c r="A2398" s="185"/>
      <c r="B2398" s="537" t="s">
        <v>573</v>
      </c>
      <c r="C2398" s="151">
        <v>2</v>
      </c>
      <c r="D2398" s="163" t="s">
        <v>15</v>
      </c>
      <c r="E2398" s="151" t="s">
        <v>582</v>
      </c>
      <c r="F2398" s="92" t="s">
        <v>581</v>
      </c>
    </row>
    <row r="2399" spans="1:6">
      <c r="A2399" s="185"/>
      <c r="B2399" s="537" t="s">
        <v>556</v>
      </c>
      <c r="C2399" s="151">
        <v>1.4</v>
      </c>
      <c r="D2399" s="163" t="s">
        <v>15</v>
      </c>
      <c r="E2399" s="151" t="s">
        <v>582</v>
      </c>
      <c r="F2399" s="92"/>
    </row>
    <row r="2400" spans="1:6">
      <c r="A2400" s="185"/>
      <c r="B2400" s="537" t="s">
        <v>559</v>
      </c>
      <c r="C2400" s="151">
        <v>58.3</v>
      </c>
      <c r="D2400" s="163" t="s">
        <v>27</v>
      </c>
      <c r="E2400" s="151" t="s">
        <v>68</v>
      </c>
      <c r="F2400" s="92"/>
    </row>
    <row r="2401" spans="1:6">
      <c r="A2401" s="185"/>
      <c r="B2401" s="140" t="s">
        <v>586</v>
      </c>
      <c r="C2401" s="551">
        <f>SUM(C2402:C2409)</f>
        <v>338.7</v>
      </c>
      <c r="D2401" s="163" t="s">
        <v>72</v>
      </c>
      <c r="E2401" s="151" t="s">
        <v>9</v>
      </c>
      <c r="F2401" s="92"/>
    </row>
    <row r="2402" spans="1:6">
      <c r="A2402" s="185"/>
      <c r="B2402" s="537" t="s">
        <v>583</v>
      </c>
      <c r="C2402" s="151">
        <v>12.5</v>
      </c>
      <c r="D2402" s="163" t="s">
        <v>15</v>
      </c>
      <c r="E2402" s="151" t="s">
        <v>582</v>
      </c>
      <c r="F2402" s="92"/>
    </row>
    <row r="2403" spans="1:6">
      <c r="A2403" s="185"/>
      <c r="B2403" s="537" t="s">
        <v>39</v>
      </c>
      <c r="C2403" s="151">
        <v>22</v>
      </c>
      <c r="D2403" s="163" t="s">
        <v>15</v>
      </c>
      <c r="E2403" s="151" t="s">
        <v>582</v>
      </c>
      <c r="F2403" s="92"/>
    </row>
    <row r="2404" spans="1:6">
      <c r="A2404" s="185"/>
      <c r="B2404" s="537" t="s">
        <v>554</v>
      </c>
      <c r="C2404" s="151">
        <v>46.1</v>
      </c>
      <c r="D2404" s="163" t="s">
        <v>15</v>
      </c>
      <c r="E2404" s="151" t="s">
        <v>582</v>
      </c>
      <c r="F2404" s="92"/>
    </row>
    <row r="2405" spans="1:6">
      <c r="A2405" s="185"/>
      <c r="B2405" s="537" t="s">
        <v>217</v>
      </c>
      <c r="C2405" s="190">
        <v>41.2</v>
      </c>
      <c r="D2405" s="163" t="s">
        <v>15</v>
      </c>
      <c r="E2405" s="151" t="s">
        <v>582</v>
      </c>
      <c r="F2405" s="92"/>
    </row>
    <row r="2406" spans="1:6">
      <c r="A2406" s="185"/>
      <c r="B2406" s="537" t="s">
        <v>584</v>
      </c>
      <c r="C2406" s="190">
        <v>49.2</v>
      </c>
      <c r="D2406" s="163" t="s">
        <v>15</v>
      </c>
      <c r="E2406" s="151" t="s">
        <v>582</v>
      </c>
      <c r="F2406" s="92"/>
    </row>
    <row r="2407" spans="1:6">
      <c r="A2407" s="185"/>
      <c r="B2407" s="537" t="s">
        <v>24</v>
      </c>
      <c r="C2407" s="190">
        <v>33.9</v>
      </c>
      <c r="D2407" s="163" t="s">
        <v>27</v>
      </c>
      <c r="E2407" s="151" t="s">
        <v>28</v>
      </c>
      <c r="F2407" s="92"/>
    </row>
    <row r="2408" spans="1:6">
      <c r="A2408" s="185"/>
      <c r="B2408" s="537" t="s">
        <v>587</v>
      </c>
      <c r="C2408" s="190">
        <v>61.5</v>
      </c>
      <c r="D2408" s="163" t="s">
        <v>15</v>
      </c>
      <c r="E2408" s="151" t="s">
        <v>582</v>
      </c>
      <c r="F2408" s="92"/>
    </row>
    <row r="2409" spans="1:6">
      <c r="A2409" s="185"/>
      <c r="B2409" s="537" t="s">
        <v>588</v>
      </c>
      <c r="C2409" s="151">
        <v>72.3</v>
      </c>
      <c r="D2409" s="163" t="s">
        <v>15</v>
      </c>
      <c r="E2409" s="151" t="s">
        <v>582</v>
      </c>
      <c r="F2409" s="92"/>
    </row>
    <row r="2410" spans="1:6">
      <c r="A2410" s="186"/>
      <c r="B2410" s="158" t="s">
        <v>58</v>
      </c>
      <c r="C2410" s="550">
        <f>SUM(C2389+C2401)</f>
        <v>622.1</v>
      </c>
      <c r="D2410" s="612" t="s">
        <v>72</v>
      </c>
      <c r="E2410" s="200" t="s">
        <v>797</v>
      </c>
      <c r="F2410" s="192"/>
    </row>
    <row r="2411" spans="1:6">
      <c r="A2411" s="765" t="s">
        <v>589</v>
      </c>
      <c r="B2411" s="766"/>
      <c r="C2411" s="766"/>
      <c r="D2411" s="766"/>
      <c r="E2411" s="766"/>
      <c r="F2411" s="767"/>
    </row>
    <row r="2412" spans="1:6">
      <c r="A2412" s="184"/>
      <c r="B2412" s="282" t="s">
        <v>558</v>
      </c>
      <c r="C2412" s="552">
        <v>314.2</v>
      </c>
      <c r="D2412" s="181" t="s">
        <v>72</v>
      </c>
      <c r="E2412" s="178" t="s">
        <v>9</v>
      </c>
      <c r="F2412" s="191"/>
    </row>
    <row r="2413" spans="1:6">
      <c r="A2413" s="185"/>
      <c r="B2413" s="537" t="s">
        <v>217</v>
      </c>
      <c r="C2413" s="151">
        <v>17.600000000000001</v>
      </c>
      <c r="D2413" s="163" t="s">
        <v>15</v>
      </c>
      <c r="E2413" s="151" t="s">
        <v>18</v>
      </c>
      <c r="F2413" s="92"/>
    </row>
    <row r="2414" spans="1:6">
      <c r="A2414" s="185"/>
      <c r="B2414" s="537" t="s">
        <v>45</v>
      </c>
      <c r="C2414" s="151">
        <v>45.3</v>
      </c>
      <c r="D2414" s="163" t="s">
        <v>27</v>
      </c>
      <c r="E2414" s="151" t="s">
        <v>28</v>
      </c>
      <c r="F2414" s="92"/>
    </row>
    <row r="2415" spans="1:6">
      <c r="A2415" s="185"/>
      <c r="B2415" s="537" t="s">
        <v>578</v>
      </c>
      <c r="C2415" s="151">
        <v>10.3</v>
      </c>
      <c r="D2415" s="163" t="s">
        <v>27</v>
      </c>
      <c r="E2415" s="151" t="s">
        <v>28</v>
      </c>
      <c r="F2415" s="92"/>
    </row>
    <row r="2416" spans="1:6">
      <c r="A2416" s="185"/>
      <c r="B2416" s="537" t="s">
        <v>14</v>
      </c>
      <c r="C2416" s="151">
        <v>29.8</v>
      </c>
      <c r="D2416" s="163" t="s">
        <v>15</v>
      </c>
      <c r="E2416" s="151" t="s">
        <v>18</v>
      </c>
      <c r="F2416" s="92"/>
    </row>
    <row r="2417" spans="1:6">
      <c r="A2417" s="185"/>
      <c r="B2417" s="537" t="s">
        <v>482</v>
      </c>
      <c r="C2417" s="151">
        <v>16.5</v>
      </c>
      <c r="D2417" s="163" t="s">
        <v>27</v>
      </c>
      <c r="E2417" s="151" t="s">
        <v>28</v>
      </c>
      <c r="F2417" s="92"/>
    </row>
    <row r="2418" spans="1:6">
      <c r="A2418" s="185"/>
      <c r="B2418" s="537" t="s">
        <v>573</v>
      </c>
      <c r="C2418" s="151">
        <v>6.2</v>
      </c>
      <c r="D2418" s="163" t="s">
        <v>15</v>
      </c>
      <c r="E2418" s="151" t="s">
        <v>18</v>
      </c>
      <c r="F2418" s="92"/>
    </row>
    <row r="2419" spans="1:6">
      <c r="A2419" s="185"/>
      <c r="B2419" s="145" t="s">
        <v>563</v>
      </c>
      <c r="C2419" s="151">
        <v>30.8</v>
      </c>
      <c r="D2419" s="163" t="s">
        <v>455</v>
      </c>
      <c r="E2419" s="151" t="s">
        <v>68</v>
      </c>
      <c r="F2419" s="92"/>
    </row>
    <row r="2420" spans="1:6">
      <c r="A2420" s="185"/>
      <c r="B2420" s="537" t="s">
        <v>19</v>
      </c>
      <c r="C2420" s="151">
        <v>10.7</v>
      </c>
      <c r="D2420" s="163" t="s">
        <v>15</v>
      </c>
      <c r="E2420" s="151" t="s">
        <v>18</v>
      </c>
      <c r="F2420" s="92"/>
    </row>
    <row r="2421" spans="1:6">
      <c r="A2421" s="185"/>
      <c r="B2421" s="537" t="s">
        <v>554</v>
      </c>
      <c r="C2421" s="151">
        <v>10.6</v>
      </c>
      <c r="D2421" s="163" t="s">
        <v>15</v>
      </c>
      <c r="E2421" s="151" t="s">
        <v>18</v>
      </c>
      <c r="F2421" s="92" t="s">
        <v>685</v>
      </c>
    </row>
    <row r="2422" spans="1:6">
      <c r="A2422" s="185"/>
      <c r="B2422" s="537" t="s">
        <v>458</v>
      </c>
      <c r="C2422" s="151">
        <v>3</v>
      </c>
      <c r="D2422" s="163" t="s">
        <v>27</v>
      </c>
      <c r="E2422" s="151" t="s">
        <v>18</v>
      </c>
      <c r="F2422" s="92"/>
    </row>
    <row r="2423" spans="1:6">
      <c r="A2423" s="185"/>
      <c r="B2423" s="537" t="s">
        <v>559</v>
      </c>
      <c r="C2423" s="151">
        <v>66</v>
      </c>
      <c r="D2423" s="163" t="s">
        <v>27</v>
      </c>
      <c r="E2423" s="151" t="s">
        <v>68</v>
      </c>
      <c r="F2423" s="92"/>
    </row>
    <row r="2424" spans="1:6">
      <c r="A2424" s="185"/>
      <c r="B2424" s="537" t="s">
        <v>590</v>
      </c>
      <c r="C2424" s="151" t="s">
        <v>591</v>
      </c>
      <c r="D2424" s="163" t="s">
        <v>15</v>
      </c>
      <c r="E2424" s="151" t="s">
        <v>18</v>
      </c>
      <c r="F2424" s="92"/>
    </row>
    <row r="2425" spans="1:6">
      <c r="A2425" s="185"/>
      <c r="B2425" s="537" t="s">
        <v>47</v>
      </c>
      <c r="C2425" s="151">
        <v>31.6</v>
      </c>
      <c r="D2425" s="163" t="s">
        <v>20</v>
      </c>
      <c r="E2425" s="151" t="s">
        <v>18</v>
      </c>
      <c r="F2425" s="92"/>
    </row>
    <row r="2426" spans="1:6">
      <c r="A2426" s="185"/>
      <c r="B2426" s="140" t="s">
        <v>586</v>
      </c>
      <c r="C2426" s="551">
        <v>329.7</v>
      </c>
      <c r="D2426" s="163" t="s">
        <v>72</v>
      </c>
      <c r="E2426" s="151" t="s">
        <v>9</v>
      </c>
      <c r="F2426" s="92"/>
    </row>
    <row r="2427" spans="1:6">
      <c r="A2427" s="185"/>
      <c r="B2427" s="537" t="s">
        <v>588</v>
      </c>
      <c r="C2427" s="151">
        <v>135.19999999999999</v>
      </c>
      <c r="D2427" s="163" t="s">
        <v>15</v>
      </c>
      <c r="E2427" s="151" t="s">
        <v>18</v>
      </c>
      <c r="F2427" s="92"/>
    </row>
    <row r="2428" spans="1:6">
      <c r="A2428" s="185"/>
      <c r="B2428" s="537" t="s">
        <v>14</v>
      </c>
      <c r="C2428" s="151">
        <v>29.8</v>
      </c>
      <c r="D2428" s="163" t="s">
        <v>15</v>
      </c>
      <c r="E2428" s="151" t="s">
        <v>18</v>
      </c>
      <c r="F2428" s="92"/>
    </row>
    <row r="2429" spans="1:6">
      <c r="A2429" s="185"/>
      <c r="B2429" s="537" t="s">
        <v>592</v>
      </c>
      <c r="C2429" s="151">
        <v>7.9</v>
      </c>
      <c r="D2429" s="163" t="s">
        <v>27</v>
      </c>
      <c r="E2429" s="151" t="s">
        <v>28</v>
      </c>
      <c r="F2429" s="92"/>
    </row>
    <row r="2430" spans="1:6">
      <c r="A2430" s="185"/>
      <c r="B2430" s="537" t="s">
        <v>553</v>
      </c>
      <c r="C2430" s="190">
        <v>21.6</v>
      </c>
      <c r="D2430" s="163" t="s">
        <v>15</v>
      </c>
      <c r="E2430" s="151" t="s">
        <v>18</v>
      </c>
      <c r="F2430" s="92"/>
    </row>
    <row r="2431" spans="1:6">
      <c r="A2431" s="185"/>
      <c r="B2431" s="537" t="s">
        <v>593</v>
      </c>
      <c r="C2431" s="151">
        <v>135.19999999999999</v>
      </c>
      <c r="D2431" s="163" t="s">
        <v>15</v>
      </c>
      <c r="E2431" s="151" t="s">
        <v>18</v>
      </c>
      <c r="F2431" s="92"/>
    </row>
    <row r="2432" spans="1:6">
      <c r="A2432" s="185"/>
      <c r="B2432" s="140" t="s">
        <v>46</v>
      </c>
      <c r="C2432" s="551">
        <v>97.6</v>
      </c>
      <c r="D2432" s="163" t="s">
        <v>27</v>
      </c>
      <c r="E2432" s="151" t="s">
        <v>28</v>
      </c>
      <c r="F2432" s="92"/>
    </row>
    <row r="2433" spans="1:6">
      <c r="A2433" s="186"/>
      <c r="B2433" s="158" t="s">
        <v>58</v>
      </c>
      <c r="C2433" s="550">
        <v>741.5</v>
      </c>
      <c r="D2433" s="612"/>
      <c r="E2433" s="200"/>
      <c r="F2433" s="192"/>
    </row>
    <row r="2434" spans="1:6">
      <c r="A2434" s="768" t="s">
        <v>594</v>
      </c>
      <c r="B2434" s="769"/>
      <c r="C2434" s="769"/>
      <c r="D2434" s="769"/>
      <c r="E2434" s="769"/>
      <c r="F2434" s="770"/>
    </row>
    <row r="2435" spans="1:6">
      <c r="A2435" s="185"/>
      <c r="B2435" s="282" t="s">
        <v>558</v>
      </c>
      <c r="C2435" s="551">
        <v>422</v>
      </c>
      <c r="D2435" s="181" t="s">
        <v>72</v>
      </c>
      <c r="E2435" s="151" t="s">
        <v>9</v>
      </c>
      <c r="F2435" s="187"/>
    </row>
    <row r="2436" spans="1:6">
      <c r="A2436" s="185"/>
      <c r="B2436" s="537" t="s">
        <v>45</v>
      </c>
      <c r="C2436" s="151">
        <v>60.3</v>
      </c>
      <c r="D2436" s="163" t="s">
        <v>27</v>
      </c>
      <c r="E2436" s="151" t="s">
        <v>28</v>
      </c>
      <c r="F2436" s="188"/>
    </row>
    <row r="2437" spans="1:6">
      <c r="A2437" s="185"/>
      <c r="B2437" s="537" t="s">
        <v>344</v>
      </c>
      <c r="C2437" s="151">
        <v>9.3000000000000007</v>
      </c>
      <c r="D2437" s="163" t="s">
        <v>15</v>
      </c>
      <c r="E2437" s="151" t="s">
        <v>367</v>
      </c>
      <c r="F2437" s="188"/>
    </row>
    <row r="2438" spans="1:6">
      <c r="A2438" s="185"/>
      <c r="B2438" s="537" t="s">
        <v>596</v>
      </c>
      <c r="C2438" s="151">
        <v>21.4</v>
      </c>
      <c r="D2438" s="163" t="s">
        <v>27</v>
      </c>
      <c r="E2438" s="151" t="s">
        <v>28</v>
      </c>
      <c r="F2438" s="188"/>
    </row>
    <row r="2439" spans="1:6">
      <c r="A2439" s="185"/>
      <c r="B2439" s="537" t="s">
        <v>14</v>
      </c>
      <c r="C2439" s="151">
        <v>41.6</v>
      </c>
      <c r="D2439" s="163" t="s">
        <v>15</v>
      </c>
      <c r="E2439" s="151" t="s">
        <v>18</v>
      </c>
      <c r="F2439" s="188"/>
    </row>
    <row r="2440" spans="1:6">
      <c r="A2440" s="185"/>
      <c r="B2440" s="537" t="s">
        <v>482</v>
      </c>
      <c r="C2440" s="151">
        <v>13.9</v>
      </c>
      <c r="D2440" s="163" t="s">
        <v>27</v>
      </c>
      <c r="E2440" s="151" t="s">
        <v>28</v>
      </c>
      <c r="F2440" s="188"/>
    </row>
    <row r="2441" spans="1:6">
      <c r="A2441" s="185"/>
      <c r="B2441" s="537" t="s">
        <v>573</v>
      </c>
      <c r="C2441" s="151">
        <v>1.1000000000000001</v>
      </c>
      <c r="D2441" s="163" t="s">
        <v>15</v>
      </c>
      <c r="E2441" s="151" t="s">
        <v>18</v>
      </c>
      <c r="F2441" s="188"/>
    </row>
    <row r="2442" spans="1:6">
      <c r="A2442" s="185"/>
      <c r="B2442" s="537" t="s">
        <v>564</v>
      </c>
      <c r="C2442" s="151">
        <v>10.9</v>
      </c>
      <c r="D2442" s="163" t="s">
        <v>15</v>
      </c>
      <c r="E2442" s="151" t="s">
        <v>18</v>
      </c>
      <c r="F2442" s="188"/>
    </row>
    <row r="2443" spans="1:6">
      <c r="A2443" s="185"/>
      <c r="B2443" s="537" t="s">
        <v>597</v>
      </c>
      <c r="C2443" s="151">
        <v>20.100000000000001</v>
      </c>
      <c r="D2443" s="163" t="s">
        <v>15</v>
      </c>
      <c r="E2443" s="151" t="s">
        <v>368</v>
      </c>
      <c r="F2443" s="188"/>
    </row>
    <row r="2444" spans="1:6">
      <c r="A2444" s="185"/>
      <c r="B2444" s="537" t="s">
        <v>458</v>
      </c>
      <c r="C2444" s="151">
        <v>4</v>
      </c>
      <c r="D2444" s="163" t="s">
        <v>27</v>
      </c>
      <c r="E2444" s="151" t="s">
        <v>18</v>
      </c>
      <c r="F2444" s="188"/>
    </row>
    <row r="2445" spans="1:6">
      <c r="A2445" s="185"/>
      <c r="B2445" s="537" t="s">
        <v>559</v>
      </c>
      <c r="C2445" s="151">
        <v>219.1</v>
      </c>
      <c r="D2445" s="163" t="s">
        <v>27</v>
      </c>
      <c r="E2445" s="151" t="s">
        <v>68</v>
      </c>
      <c r="F2445" s="188"/>
    </row>
    <row r="2446" spans="1:6">
      <c r="A2446" s="185"/>
      <c r="B2446" s="537" t="s">
        <v>569</v>
      </c>
      <c r="C2446" s="151">
        <v>5.3</v>
      </c>
      <c r="D2446" s="163" t="s">
        <v>27</v>
      </c>
      <c r="E2446" s="151" t="s">
        <v>18</v>
      </c>
      <c r="F2446" s="188"/>
    </row>
    <row r="2447" spans="1:6">
      <c r="A2447" s="185"/>
      <c r="B2447" s="537" t="s">
        <v>598</v>
      </c>
      <c r="C2447" s="151">
        <v>1.3</v>
      </c>
      <c r="D2447" s="163" t="s">
        <v>15</v>
      </c>
      <c r="E2447" s="151" t="s">
        <v>18</v>
      </c>
      <c r="F2447" s="92" t="s">
        <v>595</v>
      </c>
    </row>
    <row r="2448" spans="1:6">
      <c r="A2448" s="185"/>
      <c r="B2448" s="537" t="s">
        <v>47</v>
      </c>
      <c r="C2448" s="151">
        <v>13.7</v>
      </c>
      <c r="D2448" s="163" t="s">
        <v>15</v>
      </c>
      <c r="E2448" s="151" t="s">
        <v>18</v>
      </c>
      <c r="F2448" s="188"/>
    </row>
    <row r="2449" spans="1:6">
      <c r="A2449" s="185"/>
      <c r="B2449" s="140" t="s">
        <v>586</v>
      </c>
      <c r="C2449" s="551">
        <v>450.3</v>
      </c>
      <c r="D2449" s="163" t="s">
        <v>72</v>
      </c>
      <c r="E2449" s="151" t="s">
        <v>9</v>
      </c>
      <c r="F2449" s="188"/>
    </row>
    <row r="2450" spans="1:6">
      <c r="A2450" s="185"/>
      <c r="B2450" s="537" t="s">
        <v>217</v>
      </c>
      <c r="C2450" s="151">
        <v>23.9</v>
      </c>
      <c r="D2450" s="163" t="s">
        <v>15</v>
      </c>
      <c r="E2450" s="151" t="s">
        <v>18</v>
      </c>
      <c r="F2450" s="188"/>
    </row>
    <row r="2451" spans="1:6">
      <c r="A2451" s="185"/>
      <c r="B2451" s="537" t="s">
        <v>592</v>
      </c>
      <c r="C2451" s="151">
        <v>13.7</v>
      </c>
      <c r="D2451" s="163" t="s">
        <v>27</v>
      </c>
      <c r="E2451" s="151" t="s">
        <v>28</v>
      </c>
      <c r="F2451" s="188"/>
    </row>
    <row r="2452" spans="1:6">
      <c r="A2452" s="185"/>
      <c r="B2452" s="537" t="s">
        <v>130</v>
      </c>
      <c r="C2452" s="151">
        <v>38</v>
      </c>
      <c r="D2452" s="163" t="s">
        <v>15</v>
      </c>
      <c r="E2452" s="151" t="s">
        <v>68</v>
      </c>
      <c r="F2452" s="188"/>
    </row>
    <row r="2453" spans="1:6">
      <c r="A2453" s="185"/>
      <c r="B2453" s="537" t="s">
        <v>14</v>
      </c>
      <c r="C2453" s="190">
        <v>28.7</v>
      </c>
      <c r="D2453" s="163" t="s">
        <v>15</v>
      </c>
      <c r="E2453" s="151" t="s">
        <v>18</v>
      </c>
      <c r="F2453" s="188"/>
    </row>
    <row r="2454" spans="1:6">
      <c r="A2454" s="185"/>
      <c r="B2454" s="537" t="s">
        <v>554</v>
      </c>
      <c r="C2454" s="151">
        <v>20.8</v>
      </c>
      <c r="D2454" s="163" t="s">
        <v>15</v>
      </c>
      <c r="E2454" s="151" t="s">
        <v>18</v>
      </c>
      <c r="F2454" s="188"/>
    </row>
    <row r="2455" spans="1:6">
      <c r="A2455" s="185"/>
      <c r="B2455" s="537" t="s">
        <v>599</v>
      </c>
      <c r="C2455" s="151">
        <v>49</v>
      </c>
      <c r="D2455" s="163" t="s">
        <v>15</v>
      </c>
      <c r="E2455" s="151" t="s">
        <v>18</v>
      </c>
      <c r="F2455" s="188"/>
    </row>
    <row r="2456" spans="1:6">
      <c r="A2456" s="185"/>
      <c r="B2456" s="537" t="s">
        <v>600</v>
      </c>
      <c r="C2456" s="151">
        <v>190.3</v>
      </c>
      <c r="D2456" s="163" t="s">
        <v>15</v>
      </c>
      <c r="E2456" s="151" t="s">
        <v>18</v>
      </c>
      <c r="F2456" s="188"/>
    </row>
    <row r="2457" spans="1:6">
      <c r="A2457" s="185"/>
      <c r="B2457" s="537" t="s">
        <v>598</v>
      </c>
      <c r="C2457" s="151">
        <v>1.9</v>
      </c>
      <c r="D2457" s="163" t="s">
        <v>15</v>
      </c>
      <c r="E2457" s="151" t="s">
        <v>18</v>
      </c>
      <c r="F2457" s="188"/>
    </row>
    <row r="2458" spans="1:6">
      <c r="A2458" s="185"/>
      <c r="B2458" s="537" t="s">
        <v>47</v>
      </c>
      <c r="C2458" s="151">
        <v>14.6</v>
      </c>
      <c r="D2458" s="163" t="s">
        <v>15</v>
      </c>
      <c r="E2458" s="151" t="s">
        <v>18</v>
      </c>
      <c r="F2458" s="188"/>
    </row>
    <row r="2459" spans="1:6">
      <c r="A2459" s="185"/>
      <c r="B2459" s="537" t="s">
        <v>601</v>
      </c>
      <c r="C2459" s="151">
        <v>45.9</v>
      </c>
      <c r="D2459" s="163" t="s">
        <v>15</v>
      </c>
      <c r="E2459" s="151" t="s">
        <v>18</v>
      </c>
      <c r="F2459" s="188"/>
    </row>
    <row r="2460" spans="1:6">
      <c r="A2460" s="185"/>
      <c r="B2460" s="537" t="s">
        <v>602</v>
      </c>
      <c r="C2460" s="151">
        <v>23.5</v>
      </c>
      <c r="D2460" s="163" t="s">
        <v>27</v>
      </c>
      <c r="E2460" s="151" t="s">
        <v>42</v>
      </c>
      <c r="F2460" s="188"/>
    </row>
    <row r="2461" spans="1:6">
      <c r="A2461" s="186"/>
      <c r="B2461" s="158" t="s">
        <v>58</v>
      </c>
      <c r="C2461" s="550" t="s">
        <v>603</v>
      </c>
      <c r="D2461" s="612" t="s">
        <v>72</v>
      </c>
      <c r="E2461" s="200" t="s">
        <v>797</v>
      </c>
      <c r="F2461" s="189"/>
    </row>
    <row r="2462" spans="1:6">
      <c r="A2462" s="765" t="s">
        <v>686</v>
      </c>
      <c r="B2462" s="766"/>
      <c r="C2462" s="766"/>
      <c r="D2462" s="766"/>
      <c r="E2462" s="766"/>
      <c r="F2462" s="767"/>
    </row>
    <row r="2463" spans="1:6">
      <c r="A2463" s="184"/>
      <c r="B2463" s="281" t="s">
        <v>12</v>
      </c>
      <c r="C2463" s="552">
        <f>SUM(C2464:C2472)</f>
        <v>470.19</v>
      </c>
      <c r="D2463" s="181" t="s">
        <v>72</v>
      </c>
      <c r="E2463" s="178" t="s">
        <v>9</v>
      </c>
      <c r="F2463" s="529"/>
    </row>
    <row r="2464" spans="1:6">
      <c r="A2464" s="185"/>
      <c r="B2464" s="66" t="s">
        <v>604</v>
      </c>
      <c r="C2464" s="99">
        <v>4.83</v>
      </c>
      <c r="D2464" s="163" t="s">
        <v>20</v>
      </c>
      <c r="E2464" s="151" t="s">
        <v>18</v>
      </c>
      <c r="F2464" s="531"/>
    </row>
    <row r="2465" spans="1:6">
      <c r="A2465" s="185"/>
      <c r="B2465" s="66" t="s">
        <v>605</v>
      </c>
      <c r="C2465" s="99">
        <v>18.8</v>
      </c>
      <c r="D2465" s="163" t="s">
        <v>20</v>
      </c>
      <c r="E2465" s="151" t="s">
        <v>18</v>
      </c>
      <c r="F2465" s="531"/>
    </row>
    <row r="2466" spans="1:6">
      <c r="A2466" s="185"/>
      <c r="B2466" s="66" t="s">
        <v>231</v>
      </c>
      <c r="C2466" s="99">
        <v>13.7</v>
      </c>
      <c r="D2466" s="163" t="s">
        <v>606</v>
      </c>
      <c r="E2466" s="151" t="s">
        <v>18</v>
      </c>
      <c r="F2466" s="531"/>
    </row>
    <row r="2467" spans="1:6">
      <c r="A2467" s="185"/>
      <c r="B2467" s="66" t="s">
        <v>553</v>
      </c>
      <c r="C2467" s="99">
        <v>332.6</v>
      </c>
      <c r="D2467" s="163" t="s">
        <v>20</v>
      </c>
      <c r="E2467" s="151" t="s">
        <v>18</v>
      </c>
      <c r="F2467" s="531"/>
    </row>
    <row r="2468" spans="1:6">
      <c r="A2468" s="185"/>
      <c r="B2468" s="66" t="s">
        <v>607</v>
      </c>
      <c r="C2468" s="99">
        <v>20.58</v>
      </c>
      <c r="D2468" s="163" t="s">
        <v>15</v>
      </c>
      <c r="E2468" s="151" t="s">
        <v>18</v>
      </c>
      <c r="F2468" s="531"/>
    </row>
    <row r="2469" spans="1:6">
      <c r="A2469" s="185"/>
      <c r="B2469" s="66" t="s">
        <v>608</v>
      </c>
      <c r="C2469" s="99">
        <v>10</v>
      </c>
      <c r="D2469" s="163" t="s">
        <v>15</v>
      </c>
      <c r="E2469" s="151" t="s">
        <v>18</v>
      </c>
      <c r="F2469" s="531"/>
    </row>
    <row r="2470" spans="1:6">
      <c r="A2470" s="185"/>
      <c r="B2470" s="66" t="s">
        <v>609</v>
      </c>
      <c r="C2470" s="99">
        <v>31.7</v>
      </c>
      <c r="D2470" s="163" t="s">
        <v>15</v>
      </c>
      <c r="E2470" s="151" t="s">
        <v>18</v>
      </c>
      <c r="F2470" s="531"/>
    </row>
    <row r="2471" spans="1:6">
      <c r="A2471" s="185"/>
      <c r="B2471" s="66" t="s">
        <v>233</v>
      </c>
      <c r="C2471" s="99">
        <v>26.38</v>
      </c>
      <c r="D2471" s="163" t="s">
        <v>15</v>
      </c>
      <c r="E2471" s="99" t="s">
        <v>18</v>
      </c>
      <c r="F2471" s="531" t="s">
        <v>610</v>
      </c>
    </row>
    <row r="2472" spans="1:6">
      <c r="A2472" s="185"/>
      <c r="B2472" s="66" t="s">
        <v>492</v>
      </c>
      <c r="C2472" s="99">
        <v>11.6</v>
      </c>
      <c r="D2472" s="163" t="s">
        <v>27</v>
      </c>
      <c r="E2472" s="151" t="s">
        <v>28</v>
      </c>
      <c r="F2472" s="653"/>
    </row>
    <row r="2473" spans="1:6">
      <c r="A2473" s="185"/>
      <c r="B2473" s="81" t="s">
        <v>611</v>
      </c>
      <c r="C2473" s="107">
        <f>SUM(C2474:C2479)</f>
        <v>359.4</v>
      </c>
      <c r="D2473" s="163" t="s">
        <v>72</v>
      </c>
      <c r="E2473" s="151" t="s">
        <v>9</v>
      </c>
      <c r="F2473" s="653"/>
    </row>
    <row r="2474" spans="1:6">
      <c r="A2474" s="185"/>
      <c r="B2474" s="66" t="s">
        <v>605</v>
      </c>
      <c r="C2474" s="99">
        <v>14.3</v>
      </c>
      <c r="D2474" s="163" t="s">
        <v>15</v>
      </c>
      <c r="E2474" s="151" t="s">
        <v>18</v>
      </c>
      <c r="F2474" s="653"/>
    </row>
    <row r="2475" spans="1:6">
      <c r="A2475" s="185"/>
      <c r="B2475" s="66" t="s">
        <v>612</v>
      </c>
      <c r="C2475" s="99">
        <v>9</v>
      </c>
      <c r="D2475" s="163" t="s">
        <v>15</v>
      </c>
      <c r="E2475" s="151" t="s">
        <v>18</v>
      </c>
      <c r="F2475" s="653"/>
    </row>
    <row r="2476" spans="1:6">
      <c r="A2476" s="193"/>
      <c r="B2476" s="66" t="s">
        <v>233</v>
      </c>
      <c r="C2476" s="99">
        <v>34.799999999999997</v>
      </c>
      <c r="D2476" s="163" t="s">
        <v>15</v>
      </c>
      <c r="E2476" s="151" t="s">
        <v>18</v>
      </c>
      <c r="F2476" s="174"/>
    </row>
    <row r="2477" spans="1:6">
      <c r="A2477" s="185"/>
      <c r="B2477" s="66" t="s">
        <v>238</v>
      </c>
      <c r="C2477" s="99">
        <v>53.9</v>
      </c>
      <c r="D2477" s="163" t="s">
        <v>27</v>
      </c>
      <c r="E2477" s="151" t="s">
        <v>28</v>
      </c>
      <c r="F2477" s="174"/>
    </row>
    <row r="2478" spans="1:6">
      <c r="A2478" s="185"/>
      <c r="B2478" s="66" t="s">
        <v>217</v>
      </c>
      <c r="C2478" s="99">
        <v>56.5</v>
      </c>
      <c r="D2478" s="163" t="s">
        <v>15</v>
      </c>
      <c r="E2478" s="151" t="s">
        <v>18</v>
      </c>
      <c r="F2478" s="174"/>
    </row>
    <row r="2479" spans="1:6">
      <c r="A2479" s="185"/>
      <c r="B2479" s="66" t="s">
        <v>553</v>
      </c>
      <c r="C2479" s="99">
        <v>190.9</v>
      </c>
      <c r="D2479" s="163" t="s">
        <v>15</v>
      </c>
      <c r="E2479" s="151" t="s">
        <v>18</v>
      </c>
      <c r="F2479" s="174"/>
    </row>
    <row r="2480" spans="1:6">
      <c r="A2480" s="194"/>
      <c r="B2480" s="158" t="s">
        <v>58</v>
      </c>
      <c r="C2480" s="613">
        <f>SUM(C2463+C2473)</f>
        <v>829.58999999999992</v>
      </c>
      <c r="D2480" s="612"/>
      <c r="E2480" s="200"/>
      <c r="F2480" s="176"/>
    </row>
    <row r="2481" spans="1:6">
      <c r="A2481" s="765" t="s">
        <v>613</v>
      </c>
      <c r="B2481" s="766"/>
      <c r="C2481" s="766"/>
      <c r="D2481" s="766"/>
      <c r="E2481" s="766"/>
      <c r="F2481" s="767"/>
    </row>
    <row r="2482" spans="1:6">
      <c r="A2482" s="177"/>
      <c r="B2482" s="210" t="s">
        <v>614</v>
      </c>
      <c r="C2482" s="178"/>
      <c r="D2482" s="181"/>
      <c r="E2482" s="178"/>
      <c r="F2482" s="175"/>
    </row>
    <row r="2483" spans="1:6">
      <c r="A2483" s="179"/>
      <c r="B2483" s="145" t="s">
        <v>615</v>
      </c>
      <c r="C2483" s="151">
        <v>41.1</v>
      </c>
      <c r="D2483" s="163" t="s">
        <v>15</v>
      </c>
      <c r="E2483" s="151" t="s">
        <v>18</v>
      </c>
      <c r="F2483" s="172"/>
    </row>
    <row r="2484" spans="1:6">
      <c r="A2484" s="179"/>
      <c r="B2484" s="145" t="s">
        <v>244</v>
      </c>
      <c r="C2484" s="151">
        <v>13.9</v>
      </c>
      <c r="D2484" s="163" t="s">
        <v>15</v>
      </c>
      <c r="E2484" s="151" t="s">
        <v>18</v>
      </c>
      <c r="F2484" s="172"/>
    </row>
    <row r="2485" spans="1:6">
      <c r="A2485" s="179"/>
      <c r="B2485" s="145" t="s">
        <v>39</v>
      </c>
      <c r="C2485" s="151">
        <v>21.7</v>
      </c>
      <c r="D2485" s="163" t="s">
        <v>15</v>
      </c>
      <c r="E2485" s="151" t="s">
        <v>18</v>
      </c>
      <c r="F2485" s="172"/>
    </row>
    <row r="2486" spans="1:6">
      <c r="A2486" s="179"/>
      <c r="B2486" s="145" t="s">
        <v>616</v>
      </c>
      <c r="C2486" s="151">
        <v>4</v>
      </c>
      <c r="D2486" s="163" t="s">
        <v>15</v>
      </c>
      <c r="E2486" s="151" t="s">
        <v>18</v>
      </c>
      <c r="F2486" s="172"/>
    </row>
    <row r="2487" spans="1:6">
      <c r="A2487" s="179"/>
      <c r="B2487" s="145" t="s">
        <v>615</v>
      </c>
      <c r="C2487" s="151">
        <v>172.1</v>
      </c>
      <c r="D2487" s="163" t="s">
        <v>15</v>
      </c>
      <c r="E2487" s="151" t="s">
        <v>18</v>
      </c>
      <c r="F2487" s="172"/>
    </row>
    <row r="2488" spans="1:6">
      <c r="A2488" s="179"/>
      <c r="B2488" s="145" t="s">
        <v>617</v>
      </c>
      <c r="C2488" s="151">
        <v>25.1</v>
      </c>
      <c r="D2488" s="163" t="s">
        <v>15</v>
      </c>
      <c r="E2488" s="151" t="s">
        <v>42</v>
      </c>
      <c r="F2488" s="172"/>
    </row>
    <row r="2489" spans="1:6">
      <c r="A2489" s="179"/>
      <c r="B2489" s="145" t="s">
        <v>604</v>
      </c>
      <c r="C2489" s="151">
        <v>4.7</v>
      </c>
      <c r="D2489" s="163" t="s">
        <v>15</v>
      </c>
      <c r="E2489" s="151" t="s">
        <v>18</v>
      </c>
      <c r="F2489" s="172"/>
    </row>
    <row r="2490" spans="1:6">
      <c r="A2490" s="179"/>
      <c r="B2490" s="260" t="s">
        <v>58</v>
      </c>
      <c r="C2490" s="551">
        <f>SUM(C2483:C2489)</f>
        <v>282.60000000000002</v>
      </c>
      <c r="D2490" s="163" t="s">
        <v>72</v>
      </c>
      <c r="E2490" s="151" t="s">
        <v>9</v>
      </c>
      <c r="F2490" s="172"/>
    </row>
    <row r="2491" spans="1:6">
      <c r="A2491" s="179"/>
      <c r="B2491" s="260" t="s">
        <v>492</v>
      </c>
      <c r="C2491" s="151"/>
      <c r="D2491" s="163"/>
      <c r="E2491" s="151"/>
      <c r="F2491" s="172"/>
    </row>
    <row r="2492" spans="1:6">
      <c r="A2492" s="179"/>
      <c r="B2492" s="145" t="s">
        <v>618</v>
      </c>
      <c r="C2492" s="151">
        <v>8.5</v>
      </c>
      <c r="D2492" s="163" t="s">
        <v>27</v>
      </c>
      <c r="E2492" s="151" t="s">
        <v>9</v>
      </c>
      <c r="F2492" s="172"/>
    </row>
    <row r="2493" spans="1:6">
      <c r="A2493" s="179"/>
      <c r="B2493" s="145" t="s">
        <v>619</v>
      </c>
      <c r="C2493" s="151">
        <v>28.6</v>
      </c>
      <c r="D2493" s="163" t="s">
        <v>27</v>
      </c>
      <c r="E2493" s="151" t="s">
        <v>28</v>
      </c>
      <c r="F2493" s="172"/>
    </row>
    <row r="2494" spans="1:6">
      <c r="A2494" s="179"/>
      <c r="B2494" s="145" t="s">
        <v>604</v>
      </c>
      <c r="C2494" s="151">
        <v>2.8</v>
      </c>
      <c r="D2494" s="163" t="s">
        <v>15</v>
      </c>
      <c r="E2494" s="151" t="s">
        <v>28</v>
      </c>
      <c r="F2494" s="172"/>
    </row>
    <row r="2495" spans="1:6">
      <c r="A2495" s="179"/>
      <c r="B2495" s="145" t="s">
        <v>620</v>
      </c>
      <c r="C2495" s="151">
        <v>5</v>
      </c>
      <c r="D2495" s="163" t="s">
        <v>27</v>
      </c>
      <c r="E2495" s="151" t="s">
        <v>28</v>
      </c>
      <c r="F2495" s="172"/>
    </row>
    <row r="2496" spans="1:6">
      <c r="A2496" s="179"/>
      <c r="B2496" s="145" t="s">
        <v>492</v>
      </c>
      <c r="C2496" s="151">
        <v>67.5</v>
      </c>
      <c r="D2496" s="163" t="s">
        <v>27</v>
      </c>
      <c r="E2496" s="151" t="s">
        <v>28</v>
      </c>
      <c r="F2496" s="172"/>
    </row>
    <row r="2497" spans="1:6">
      <c r="A2497" s="179"/>
      <c r="B2497" s="260" t="s">
        <v>58</v>
      </c>
      <c r="C2497" s="551">
        <f>SUM(C2492:C2496)</f>
        <v>112.4</v>
      </c>
      <c r="D2497" s="163" t="s">
        <v>72</v>
      </c>
      <c r="E2497" s="151" t="s">
        <v>9</v>
      </c>
      <c r="F2497" s="172"/>
    </row>
    <row r="2498" spans="1:6">
      <c r="A2498" s="179"/>
      <c r="B2498" s="260" t="s">
        <v>621</v>
      </c>
      <c r="C2498" s="151"/>
      <c r="D2498" s="163"/>
      <c r="E2498" s="151"/>
      <c r="F2498" s="34" t="s">
        <v>622</v>
      </c>
    </row>
    <row r="2499" spans="1:6">
      <c r="A2499" s="179"/>
      <c r="B2499" s="260" t="s">
        <v>12</v>
      </c>
      <c r="C2499" s="151"/>
      <c r="D2499" s="163"/>
      <c r="E2499" s="151"/>
      <c r="F2499" s="172"/>
    </row>
    <row r="2500" spans="1:6">
      <c r="A2500" s="179"/>
      <c r="B2500" s="145" t="s">
        <v>604</v>
      </c>
      <c r="C2500" s="151">
        <v>6.8</v>
      </c>
      <c r="D2500" s="163" t="s">
        <v>15</v>
      </c>
      <c r="E2500" s="151" t="s">
        <v>18</v>
      </c>
      <c r="F2500" s="172"/>
    </row>
    <row r="2501" spans="1:6">
      <c r="A2501" s="179"/>
      <c r="B2501" s="145" t="s">
        <v>623</v>
      </c>
      <c r="C2501" s="151">
        <v>55.8</v>
      </c>
      <c r="D2501" s="163" t="s">
        <v>15</v>
      </c>
      <c r="E2501" s="151" t="s">
        <v>28</v>
      </c>
      <c r="F2501" s="172"/>
    </row>
    <row r="2502" spans="1:6">
      <c r="A2502" s="179"/>
      <c r="B2502" s="283" t="s">
        <v>609</v>
      </c>
      <c r="C2502" s="151">
        <v>80.099999999999994</v>
      </c>
      <c r="D2502" s="163" t="s">
        <v>15</v>
      </c>
      <c r="E2502" s="151" t="s">
        <v>42</v>
      </c>
      <c r="F2502" s="172"/>
    </row>
    <row r="2503" spans="1:6">
      <c r="A2503" s="179"/>
      <c r="B2503" s="145" t="s">
        <v>233</v>
      </c>
      <c r="C2503" s="151">
        <v>19.600000000000001</v>
      </c>
      <c r="D2503" s="163" t="s">
        <v>15</v>
      </c>
      <c r="E2503" s="151" t="s">
        <v>18</v>
      </c>
      <c r="F2503" s="172"/>
    </row>
    <row r="2504" spans="1:6">
      <c r="A2504" s="179"/>
      <c r="B2504" s="145" t="s">
        <v>238</v>
      </c>
      <c r="C2504" s="151">
        <v>32.5</v>
      </c>
      <c r="D2504" s="163" t="s">
        <v>27</v>
      </c>
      <c r="E2504" s="151" t="s">
        <v>28</v>
      </c>
      <c r="F2504" s="172"/>
    </row>
    <row r="2505" spans="1:6">
      <c r="A2505" s="179"/>
      <c r="B2505" s="145" t="s">
        <v>624</v>
      </c>
      <c r="C2505" s="151">
        <v>35.799999999999997</v>
      </c>
      <c r="D2505" s="163" t="s">
        <v>27</v>
      </c>
      <c r="E2505" s="151" t="s">
        <v>9</v>
      </c>
      <c r="F2505" s="172"/>
    </row>
    <row r="2506" spans="1:6">
      <c r="A2506" s="179"/>
      <c r="B2506" s="260" t="s">
        <v>58</v>
      </c>
      <c r="C2506" s="551">
        <f>SUM(C2500:C2505)</f>
        <v>230.59999999999997</v>
      </c>
      <c r="D2506" s="163" t="s">
        <v>72</v>
      </c>
      <c r="E2506" s="151" t="s">
        <v>9</v>
      </c>
      <c r="F2506" s="172"/>
    </row>
    <row r="2507" spans="1:6">
      <c r="A2507" s="179"/>
      <c r="B2507" s="260" t="s">
        <v>30</v>
      </c>
      <c r="C2507" s="151"/>
      <c r="D2507" s="163"/>
      <c r="E2507" s="151"/>
      <c r="F2507" s="172"/>
    </row>
    <row r="2508" spans="1:6">
      <c r="A2508" s="179"/>
      <c r="B2508" s="145" t="s">
        <v>625</v>
      </c>
      <c r="C2508" s="151">
        <v>17.600000000000001</v>
      </c>
      <c r="D2508" s="163" t="s">
        <v>15</v>
      </c>
      <c r="E2508" s="151" t="s">
        <v>18</v>
      </c>
      <c r="F2508" s="172"/>
    </row>
    <row r="2509" spans="1:6">
      <c r="A2509" s="179"/>
      <c r="B2509" s="145" t="s">
        <v>626</v>
      </c>
      <c r="C2509" s="151">
        <v>40.299999999999997</v>
      </c>
      <c r="D2509" s="163" t="s">
        <v>15</v>
      </c>
      <c r="E2509" s="151" t="s">
        <v>18</v>
      </c>
      <c r="F2509" s="172"/>
    </row>
    <row r="2510" spans="1:6">
      <c r="A2510" s="179"/>
      <c r="B2510" s="145" t="s">
        <v>233</v>
      </c>
      <c r="C2510" s="151">
        <v>15.4</v>
      </c>
      <c r="D2510" s="163" t="s">
        <v>15</v>
      </c>
      <c r="E2510" s="151" t="s">
        <v>18</v>
      </c>
      <c r="F2510" s="172"/>
    </row>
    <row r="2511" spans="1:6">
      <c r="A2511" s="179"/>
      <c r="B2511" s="145" t="s">
        <v>605</v>
      </c>
      <c r="C2511" s="151">
        <v>19.399999999999999</v>
      </c>
      <c r="D2511" s="163" t="s">
        <v>15</v>
      </c>
      <c r="E2511" s="151" t="s">
        <v>18</v>
      </c>
      <c r="F2511" s="172"/>
    </row>
    <row r="2512" spans="1:6">
      <c r="A2512" s="179"/>
      <c r="B2512" s="260" t="s">
        <v>58</v>
      </c>
      <c r="C2512" s="551">
        <f>SUM(C2508:C2511)</f>
        <v>92.699999999999989</v>
      </c>
      <c r="D2512" s="163" t="s">
        <v>72</v>
      </c>
      <c r="E2512" s="151" t="s">
        <v>9</v>
      </c>
      <c r="F2512" s="172"/>
    </row>
    <row r="2513" spans="1:6">
      <c r="A2513" s="186"/>
      <c r="B2513" s="295" t="s">
        <v>58</v>
      </c>
      <c r="C2513" s="550">
        <f>SUM(C2497+C2506+C2512+C2490)</f>
        <v>718.3</v>
      </c>
      <c r="D2513" s="612"/>
      <c r="E2513" s="200"/>
      <c r="F2513" s="176"/>
    </row>
    <row r="2514" spans="1:6">
      <c r="A2514" s="765" t="s">
        <v>627</v>
      </c>
      <c r="B2514" s="766"/>
      <c r="C2514" s="766"/>
      <c r="D2514" s="766"/>
      <c r="E2514" s="766"/>
      <c r="F2514" s="767"/>
    </row>
    <row r="2515" spans="1:6">
      <c r="A2515" s="128"/>
      <c r="B2515" s="210" t="s">
        <v>687</v>
      </c>
      <c r="C2515" s="129"/>
      <c r="D2515" s="138"/>
      <c r="E2515" s="129"/>
      <c r="F2515" s="138"/>
    </row>
    <row r="2516" spans="1:6">
      <c r="A2516" s="131"/>
      <c r="B2516" s="140" t="s">
        <v>558</v>
      </c>
      <c r="C2516" s="134" t="s">
        <v>628</v>
      </c>
      <c r="D2516" s="163" t="s">
        <v>72</v>
      </c>
      <c r="E2516" s="151" t="s">
        <v>9</v>
      </c>
      <c r="F2516" s="195"/>
    </row>
    <row r="2517" spans="1:6">
      <c r="A2517" s="131"/>
      <c r="B2517" s="537" t="s">
        <v>458</v>
      </c>
      <c r="C2517" s="133" t="s">
        <v>13</v>
      </c>
      <c r="D2517" s="143" t="s">
        <v>15</v>
      </c>
      <c r="E2517" s="132" t="s">
        <v>18</v>
      </c>
      <c r="F2517" s="195"/>
    </row>
    <row r="2518" spans="1:6">
      <c r="A2518" s="131"/>
      <c r="B2518" s="537" t="s">
        <v>39</v>
      </c>
      <c r="C2518" s="133" t="s">
        <v>629</v>
      </c>
      <c r="D2518" s="143" t="s">
        <v>15</v>
      </c>
      <c r="E2518" s="132" t="s">
        <v>18</v>
      </c>
      <c r="F2518" s="195"/>
    </row>
    <row r="2519" spans="1:6">
      <c r="A2519" s="131"/>
      <c r="B2519" s="537" t="s">
        <v>630</v>
      </c>
      <c r="C2519" s="133" t="s">
        <v>631</v>
      </c>
      <c r="D2519" s="143" t="s">
        <v>15</v>
      </c>
      <c r="E2519" s="132" t="s">
        <v>18</v>
      </c>
      <c r="F2519" s="195"/>
    </row>
    <row r="2520" spans="1:6">
      <c r="A2520" s="131"/>
      <c r="B2520" s="537" t="s">
        <v>632</v>
      </c>
      <c r="C2520" s="133" t="s">
        <v>633</v>
      </c>
      <c r="D2520" s="143" t="s">
        <v>15</v>
      </c>
      <c r="E2520" s="132" t="s">
        <v>18</v>
      </c>
      <c r="F2520" s="195"/>
    </row>
    <row r="2521" spans="1:6">
      <c r="A2521" s="131"/>
      <c r="B2521" s="537" t="s">
        <v>340</v>
      </c>
      <c r="C2521" s="133" t="s">
        <v>634</v>
      </c>
      <c r="D2521" s="143" t="s">
        <v>27</v>
      </c>
      <c r="E2521" s="132" t="s">
        <v>28</v>
      </c>
      <c r="F2521" s="195"/>
    </row>
    <row r="2522" spans="1:6">
      <c r="A2522" s="197"/>
      <c r="B2522" s="537" t="s">
        <v>578</v>
      </c>
      <c r="C2522" s="133" t="s">
        <v>635</v>
      </c>
      <c r="D2522" s="143" t="s">
        <v>15</v>
      </c>
      <c r="E2522" s="132" t="s">
        <v>28</v>
      </c>
      <c r="F2522" s="195"/>
    </row>
    <row r="2523" spans="1:6">
      <c r="A2523" s="131"/>
      <c r="B2523" s="537" t="s">
        <v>636</v>
      </c>
      <c r="C2523" s="133" t="s">
        <v>637</v>
      </c>
      <c r="D2523" s="143" t="s">
        <v>15</v>
      </c>
      <c r="E2523" s="132" t="s">
        <v>18</v>
      </c>
      <c r="F2523" s="195"/>
    </row>
    <row r="2524" spans="1:6">
      <c r="A2524" s="131"/>
      <c r="B2524" s="537" t="s">
        <v>343</v>
      </c>
      <c r="C2524" s="133" t="s">
        <v>638</v>
      </c>
      <c r="D2524" s="143" t="s">
        <v>15</v>
      </c>
      <c r="E2524" s="132" t="s">
        <v>18</v>
      </c>
      <c r="F2524" s="195"/>
    </row>
    <row r="2525" spans="1:6">
      <c r="A2525" s="131"/>
      <c r="B2525" s="537" t="s">
        <v>639</v>
      </c>
      <c r="C2525" s="133" t="s">
        <v>640</v>
      </c>
      <c r="D2525" s="143" t="s">
        <v>15</v>
      </c>
      <c r="E2525" s="132" t="s">
        <v>18</v>
      </c>
      <c r="F2525" s="195"/>
    </row>
    <row r="2526" spans="1:6">
      <c r="A2526" s="131"/>
      <c r="B2526" s="537" t="s">
        <v>641</v>
      </c>
      <c r="C2526" s="133" t="s">
        <v>642</v>
      </c>
      <c r="D2526" s="143" t="s">
        <v>27</v>
      </c>
      <c r="E2526" s="132" t="s">
        <v>68</v>
      </c>
      <c r="F2526" s="142" t="s">
        <v>643</v>
      </c>
    </row>
    <row r="2527" spans="1:6">
      <c r="A2527" s="131"/>
      <c r="B2527" s="211" t="s">
        <v>644</v>
      </c>
      <c r="C2527" s="133" t="s">
        <v>645</v>
      </c>
      <c r="D2527" s="143" t="s">
        <v>27</v>
      </c>
      <c r="E2527" s="132" t="s">
        <v>28</v>
      </c>
      <c r="F2527" s="195"/>
    </row>
    <row r="2528" spans="1:6">
      <c r="A2528" s="131"/>
      <c r="B2528" s="140" t="s">
        <v>30</v>
      </c>
      <c r="C2528" s="212" t="s">
        <v>646</v>
      </c>
      <c r="D2528" s="163" t="s">
        <v>72</v>
      </c>
      <c r="E2528" s="151" t="s">
        <v>9</v>
      </c>
      <c r="F2528" s="195"/>
    </row>
    <row r="2529" spans="1:6">
      <c r="A2529" s="197"/>
      <c r="B2529" s="537" t="s">
        <v>630</v>
      </c>
      <c r="C2529" s="133" t="s">
        <v>647</v>
      </c>
      <c r="D2529" s="143" t="s">
        <v>15</v>
      </c>
      <c r="E2529" s="132" t="s">
        <v>18</v>
      </c>
      <c r="F2529" s="195"/>
    </row>
    <row r="2530" spans="1:6">
      <c r="A2530" s="197"/>
      <c r="B2530" s="537" t="s">
        <v>39</v>
      </c>
      <c r="C2530" s="133" t="s">
        <v>648</v>
      </c>
      <c r="D2530" s="143" t="s">
        <v>15</v>
      </c>
      <c r="E2530" s="132" t="s">
        <v>18</v>
      </c>
      <c r="F2530" s="149"/>
    </row>
    <row r="2531" spans="1:6">
      <c r="A2531" s="197"/>
      <c r="B2531" s="537" t="s">
        <v>649</v>
      </c>
      <c r="C2531" s="133" t="s">
        <v>645</v>
      </c>
      <c r="D2531" s="143" t="s">
        <v>15</v>
      </c>
      <c r="E2531" s="132" t="s">
        <v>18</v>
      </c>
      <c r="F2531" s="578"/>
    </row>
    <row r="2532" spans="1:6">
      <c r="A2532" s="197"/>
      <c r="B2532" s="537" t="s">
        <v>563</v>
      </c>
      <c r="C2532" s="133" t="s">
        <v>650</v>
      </c>
      <c r="D2532" s="143" t="s">
        <v>15</v>
      </c>
      <c r="E2532" s="132" t="s">
        <v>88</v>
      </c>
      <c r="F2532" s="578"/>
    </row>
    <row r="2533" spans="1:6">
      <c r="A2533" s="197"/>
      <c r="B2533" s="537" t="s">
        <v>554</v>
      </c>
      <c r="C2533" s="133" t="s">
        <v>651</v>
      </c>
      <c r="D2533" s="143" t="s">
        <v>15</v>
      </c>
      <c r="E2533" s="132" t="s">
        <v>88</v>
      </c>
      <c r="F2533" s="578"/>
    </row>
    <row r="2534" spans="1:6">
      <c r="A2534" s="197"/>
      <c r="B2534" s="537" t="s">
        <v>652</v>
      </c>
      <c r="C2534" s="133" t="s">
        <v>653</v>
      </c>
      <c r="D2534" s="143" t="s">
        <v>15</v>
      </c>
      <c r="E2534" s="132" t="s">
        <v>88</v>
      </c>
      <c r="F2534" s="578"/>
    </row>
    <row r="2535" spans="1:6">
      <c r="A2535" s="197"/>
      <c r="B2535" s="537" t="s">
        <v>654</v>
      </c>
      <c r="C2535" s="133" t="s">
        <v>655</v>
      </c>
      <c r="D2535" s="143" t="s">
        <v>15</v>
      </c>
      <c r="E2535" s="132" t="s">
        <v>18</v>
      </c>
      <c r="F2535" s="578"/>
    </row>
    <row r="2536" spans="1:6">
      <c r="A2536" s="197"/>
      <c r="B2536" s="537" t="s">
        <v>555</v>
      </c>
      <c r="C2536" s="133" t="s">
        <v>656</v>
      </c>
      <c r="D2536" s="201">
        <v>3</v>
      </c>
      <c r="E2536" s="132" t="s">
        <v>28</v>
      </c>
      <c r="F2536" s="578"/>
    </row>
    <row r="2537" spans="1:6">
      <c r="A2537" s="197"/>
      <c r="B2537" s="537" t="s">
        <v>587</v>
      </c>
      <c r="C2537" s="196" t="s">
        <v>657</v>
      </c>
      <c r="D2537" s="201" t="s">
        <v>15</v>
      </c>
      <c r="E2537" s="132" t="s">
        <v>18</v>
      </c>
      <c r="F2537" s="578"/>
    </row>
    <row r="2538" spans="1:6">
      <c r="A2538" s="198"/>
      <c r="B2538" s="202" t="s">
        <v>58</v>
      </c>
      <c r="C2538" s="199" t="s">
        <v>658</v>
      </c>
      <c r="D2538" s="612"/>
      <c r="E2538" s="200"/>
      <c r="F2538" s="579"/>
    </row>
    <row r="2539" spans="1:6" ht="15.75">
      <c r="A2539" s="580"/>
      <c r="B2539" s="435" t="s">
        <v>659</v>
      </c>
      <c r="C2539" s="581" t="s">
        <v>660</v>
      </c>
      <c r="D2539" s="582"/>
      <c r="E2539" s="583"/>
      <c r="F2539" s="463"/>
    </row>
    <row r="2540" spans="1:6" s="95" customFormat="1" ht="15.75">
      <c r="A2540" s="584"/>
      <c r="B2540" s="585"/>
      <c r="C2540" s="586">
        <f>C458+C699+C860+C1058+C1650+C2166+C2317+C2539</f>
        <v>103545.87999999999</v>
      </c>
      <c r="D2540" s="586"/>
      <c r="E2540" s="623"/>
      <c r="F2540" s="586"/>
    </row>
  </sheetData>
  <mergeCells count="229">
    <mergeCell ref="A2462:F2462"/>
    <mergeCell ref="F2472:F2475"/>
    <mergeCell ref="A2481:F2481"/>
    <mergeCell ref="A2514:F2514"/>
    <mergeCell ref="A2319:F2319"/>
    <mergeCell ref="A2342:F2342"/>
    <mergeCell ref="A2369:F2369"/>
    <mergeCell ref="A2388:F2388"/>
    <mergeCell ref="A2411:F2411"/>
    <mergeCell ref="A2434:F2434"/>
    <mergeCell ref="A2269:F2269"/>
    <mergeCell ref="F2270:F2289"/>
    <mergeCell ref="F2290:F2297"/>
    <mergeCell ref="A2298:F2298"/>
    <mergeCell ref="F2299:F2311"/>
    <mergeCell ref="A2318:F2318"/>
    <mergeCell ref="F2216:F2228"/>
    <mergeCell ref="A2229:F2229"/>
    <mergeCell ref="F2230:F2247"/>
    <mergeCell ref="A2248:F2248"/>
    <mergeCell ref="F2249:F2262"/>
    <mergeCell ref="F2263:F2267"/>
    <mergeCell ref="F2169:F2173"/>
    <mergeCell ref="F2174:F2180"/>
    <mergeCell ref="A2181:F2181"/>
    <mergeCell ref="F2182:F2202"/>
    <mergeCell ref="F2203:F2214"/>
    <mergeCell ref="A2215:F2215"/>
    <mergeCell ref="A2133:F2133"/>
    <mergeCell ref="F2135:F2149"/>
    <mergeCell ref="F2151:F2164"/>
    <mergeCell ref="D2165:E2165"/>
    <mergeCell ref="A2167:F2167"/>
    <mergeCell ref="A2168:F2168"/>
    <mergeCell ref="F2024:F2027"/>
    <mergeCell ref="F2028:F2043"/>
    <mergeCell ref="A2087:F2087"/>
    <mergeCell ref="F2089:F2112"/>
    <mergeCell ref="A2113:F2113"/>
    <mergeCell ref="F2114:F2132"/>
    <mergeCell ref="F1962:F1974"/>
    <mergeCell ref="A1976:F1976"/>
    <mergeCell ref="F1978:F1991"/>
    <mergeCell ref="F1994:F2006"/>
    <mergeCell ref="A2008:F2008"/>
    <mergeCell ref="F2010:F2022"/>
    <mergeCell ref="F1890:F1905"/>
    <mergeCell ref="F1906:F1916"/>
    <mergeCell ref="F1917:F1924"/>
    <mergeCell ref="F1925:F1932"/>
    <mergeCell ref="F1934:F1947"/>
    <mergeCell ref="F1948:F1961"/>
    <mergeCell ref="F1836:F1848"/>
    <mergeCell ref="F1849:F1853"/>
    <mergeCell ref="A1855:F1855"/>
    <mergeCell ref="F1857:F1870"/>
    <mergeCell ref="F1872:F1886"/>
    <mergeCell ref="A1888:F1888"/>
    <mergeCell ref="F1777:F1787"/>
    <mergeCell ref="F1789:F1795"/>
    <mergeCell ref="A1797:F1797"/>
    <mergeCell ref="F1800:F1811"/>
    <mergeCell ref="F1812:F1831"/>
    <mergeCell ref="A1835:F1835"/>
    <mergeCell ref="F1680:F1701"/>
    <mergeCell ref="F1703:F1720"/>
    <mergeCell ref="F1721:F1739"/>
    <mergeCell ref="A1741:F1741"/>
    <mergeCell ref="F1743:F1774"/>
    <mergeCell ref="A1775:F1775"/>
    <mergeCell ref="A1629:F1629"/>
    <mergeCell ref="F1630:F1649"/>
    <mergeCell ref="A1651:F1651"/>
    <mergeCell ref="A1652:F1652"/>
    <mergeCell ref="F1653:F1677"/>
    <mergeCell ref="A1678:F1678"/>
    <mergeCell ref="F1575:F1595"/>
    <mergeCell ref="A1597:F1597"/>
    <mergeCell ref="F1598:F1605"/>
    <mergeCell ref="F1606:F1611"/>
    <mergeCell ref="A1613:F1613"/>
    <mergeCell ref="F1614:F1628"/>
    <mergeCell ref="F1456:F1473"/>
    <mergeCell ref="F1474:F1494"/>
    <mergeCell ref="F1501:F1520"/>
    <mergeCell ref="F1521:F1536"/>
    <mergeCell ref="F1537:F1564"/>
    <mergeCell ref="F1565:F1574"/>
    <mergeCell ref="F1390:F1400"/>
    <mergeCell ref="F1401:F1410"/>
    <mergeCell ref="F1411:F1423"/>
    <mergeCell ref="A1425:F1425"/>
    <mergeCell ref="F1426:F1452"/>
    <mergeCell ref="A1455:F1455"/>
    <mergeCell ref="F1302:F1324"/>
    <mergeCell ref="F1325:F1334"/>
    <mergeCell ref="A1336:F1336"/>
    <mergeCell ref="F1337:F1350"/>
    <mergeCell ref="F1351:F1370"/>
    <mergeCell ref="F1371:F1389"/>
    <mergeCell ref="F1190:F1206"/>
    <mergeCell ref="F1207:F1231"/>
    <mergeCell ref="F1232:F1255"/>
    <mergeCell ref="F1256:F1274"/>
    <mergeCell ref="F1275:F1291"/>
    <mergeCell ref="F1292:F1301"/>
    <mergeCell ref="F1081:F1103"/>
    <mergeCell ref="F1104:F1115"/>
    <mergeCell ref="F1149:F1177"/>
    <mergeCell ref="F1178:F1186"/>
    <mergeCell ref="F1187:F1189"/>
    <mergeCell ref="B1188:B1189"/>
    <mergeCell ref="F998:F1044"/>
    <mergeCell ref="F1045:F1057"/>
    <mergeCell ref="D1058:E1058"/>
    <mergeCell ref="A1059:F1059"/>
    <mergeCell ref="A1060:F1060"/>
    <mergeCell ref="F1061:F1080"/>
    <mergeCell ref="F892:F917"/>
    <mergeCell ref="A918:F918"/>
    <mergeCell ref="F919:F944"/>
    <mergeCell ref="A945:F945"/>
    <mergeCell ref="F946:F977"/>
    <mergeCell ref="F979:F997"/>
    <mergeCell ref="D860:E860"/>
    <mergeCell ref="A861:F861"/>
    <mergeCell ref="A862:F862"/>
    <mergeCell ref="F863:F876"/>
    <mergeCell ref="F877:F890"/>
    <mergeCell ref="A891:F891"/>
    <mergeCell ref="A807:F807"/>
    <mergeCell ref="F808:F821"/>
    <mergeCell ref="F822:F831"/>
    <mergeCell ref="A832:F832"/>
    <mergeCell ref="F833:F848"/>
    <mergeCell ref="F849:F859"/>
    <mergeCell ref="A753:F753"/>
    <mergeCell ref="F754:F771"/>
    <mergeCell ref="F772:F780"/>
    <mergeCell ref="A782:F782"/>
    <mergeCell ref="F783:F797"/>
    <mergeCell ref="F798:F806"/>
    <mergeCell ref="A700:F700"/>
    <mergeCell ref="A701:F701"/>
    <mergeCell ref="F702:F720"/>
    <mergeCell ref="F721:F729"/>
    <mergeCell ref="F730:F737"/>
    <mergeCell ref="F738:F751"/>
    <mergeCell ref="F625:F647"/>
    <mergeCell ref="A649:F649"/>
    <mergeCell ref="F650:F677"/>
    <mergeCell ref="A678:F678"/>
    <mergeCell ref="F679:F698"/>
    <mergeCell ref="B695:B696"/>
    <mergeCell ref="C695:C696"/>
    <mergeCell ref="A563:A573"/>
    <mergeCell ref="F574:F602"/>
    <mergeCell ref="A591:A593"/>
    <mergeCell ref="A594:A596"/>
    <mergeCell ref="C594:C596"/>
    <mergeCell ref="F603:F624"/>
    <mergeCell ref="A529:F529"/>
    <mergeCell ref="F530:F545"/>
    <mergeCell ref="A546:A551"/>
    <mergeCell ref="F546:F573"/>
    <mergeCell ref="D557:D558"/>
    <mergeCell ref="E557:E558"/>
    <mergeCell ref="A560:A562"/>
    <mergeCell ref="C560:C561"/>
    <mergeCell ref="D560:D561"/>
    <mergeCell ref="E560:E561"/>
    <mergeCell ref="F471:F479"/>
    <mergeCell ref="F480:F487"/>
    <mergeCell ref="F488:F503"/>
    <mergeCell ref="A504:A512"/>
    <mergeCell ref="F504:F518"/>
    <mergeCell ref="F519:F527"/>
    <mergeCell ref="A423:F423"/>
    <mergeCell ref="F425:F444"/>
    <mergeCell ref="F446:F456"/>
    <mergeCell ref="A459:F459"/>
    <mergeCell ref="A460:F460"/>
    <mergeCell ref="F461:F470"/>
    <mergeCell ref="F365:F371"/>
    <mergeCell ref="A372:F372"/>
    <mergeCell ref="F373:F391"/>
    <mergeCell ref="F392:F402"/>
    <mergeCell ref="A404:F404"/>
    <mergeCell ref="F405:F422"/>
    <mergeCell ref="F318:F327"/>
    <mergeCell ref="F328:F336"/>
    <mergeCell ref="F337:F355"/>
    <mergeCell ref="A356:F356"/>
    <mergeCell ref="F357:F363"/>
    <mergeCell ref="A364:F364"/>
    <mergeCell ref="F255:F267"/>
    <mergeCell ref="A268:F268"/>
    <mergeCell ref="F269:F280"/>
    <mergeCell ref="F289:F297"/>
    <mergeCell ref="F298:F306"/>
    <mergeCell ref="F307:F317"/>
    <mergeCell ref="F188:F212"/>
    <mergeCell ref="F213:F232"/>
    <mergeCell ref="A234:F234"/>
    <mergeCell ref="F235:F253"/>
    <mergeCell ref="A249:A253"/>
    <mergeCell ref="A254:F254"/>
    <mergeCell ref="A134:F134"/>
    <mergeCell ref="F135:F153"/>
    <mergeCell ref="A154:F154"/>
    <mergeCell ref="F155:F172"/>
    <mergeCell ref="F173:F185"/>
    <mergeCell ref="A187:F187"/>
    <mergeCell ref="F77:F89"/>
    <mergeCell ref="A90:F90"/>
    <mergeCell ref="F91:F108"/>
    <mergeCell ref="F109:F117"/>
    <mergeCell ref="A119:F119"/>
    <mergeCell ref="F120:F133"/>
    <mergeCell ref="F19:F36"/>
    <mergeCell ref="F37:F52"/>
    <mergeCell ref="F53:F60"/>
    <mergeCell ref="F61:F65"/>
    <mergeCell ref="F66:F73"/>
    <mergeCell ref="A76:F76"/>
    <mergeCell ref="A2:F2"/>
    <mergeCell ref="A5:F5"/>
    <mergeCell ref="A6:F6"/>
    <mergeCell ref="F7:F1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9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D15"/>
  <sheetViews>
    <sheetView workbookViewId="0">
      <selection activeCell="D5" sqref="D5"/>
    </sheetView>
  </sheetViews>
  <sheetFormatPr defaultRowHeight="12.75"/>
  <cols>
    <col min="1" max="1" width="7" style="322" customWidth="1"/>
    <col min="2" max="2" width="85.140625" style="322" customWidth="1"/>
    <col min="3" max="4" width="9.140625" style="322"/>
    <col min="5" max="256" width="9.140625" style="323"/>
    <col min="257" max="257" width="7" style="323" customWidth="1"/>
    <col min="258" max="258" width="85.140625" style="323" customWidth="1"/>
    <col min="259" max="512" width="9.140625" style="323"/>
    <col min="513" max="513" width="7" style="323" customWidth="1"/>
    <col min="514" max="514" width="85.140625" style="323" customWidth="1"/>
    <col min="515" max="768" width="9.140625" style="323"/>
    <col min="769" max="769" width="7" style="323" customWidth="1"/>
    <col min="770" max="770" width="85.140625" style="323" customWidth="1"/>
    <col min="771" max="1024" width="9.140625" style="323"/>
    <col min="1025" max="1025" width="7" style="323" customWidth="1"/>
    <col min="1026" max="1026" width="85.140625" style="323" customWidth="1"/>
    <col min="1027" max="1280" width="9.140625" style="323"/>
    <col min="1281" max="1281" width="7" style="323" customWidth="1"/>
    <col min="1282" max="1282" width="85.140625" style="323" customWidth="1"/>
    <col min="1283" max="1536" width="9.140625" style="323"/>
    <col min="1537" max="1537" width="7" style="323" customWidth="1"/>
    <col min="1538" max="1538" width="85.140625" style="323" customWidth="1"/>
    <col min="1539" max="1792" width="9.140625" style="323"/>
    <col min="1793" max="1793" width="7" style="323" customWidth="1"/>
    <col min="1794" max="1794" width="85.140625" style="323" customWidth="1"/>
    <col min="1795" max="2048" width="9.140625" style="323"/>
    <col min="2049" max="2049" width="7" style="323" customWidth="1"/>
    <col min="2050" max="2050" width="85.140625" style="323" customWidth="1"/>
    <col min="2051" max="2304" width="9.140625" style="323"/>
    <col min="2305" max="2305" width="7" style="323" customWidth="1"/>
    <col min="2306" max="2306" width="85.140625" style="323" customWidth="1"/>
    <col min="2307" max="2560" width="9.140625" style="323"/>
    <col min="2561" max="2561" width="7" style="323" customWidth="1"/>
    <col min="2562" max="2562" width="85.140625" style="323" customWidth="1"/>
    <col min="2563" max="2816" width="9.140625" style="323"/>
    <col min="2817" max="2817" width="7" style="323" customWidth="1"/>
    <col min="2818" max="2818" width="85.140625" style="323" customWidth="1"/>
    <col min="2819" max="3072" width="9.140625" style="323"/>
    <col min="3073" max="3073" width="7" style="323" customWidth="1"/>
    <col min="3074" max="3074" width="85.140625" style="323" customWidth="1"/>
    <col min="3075" max="3328" width="9.140625" style="323"/>
    <col min="3329" max="3329" width="7" style="323" customWidth="1"/>
    <col min="3330" max="3330" width="85.140625" style="323" customWidth="1"/>
    <col min="3331" max="3584" width="9.140625" style="323"/>
    <col min="3585" max="3585" width="7" style="323" customWidth="1"/>
    <col min="3586" max="3586" width="85.140625" style="323" customWidth="1"/>
    <col min="3587" max="3840" width="9.140625" style="323"/>
    <col min="3841" max="3841" width="7" style="323" customWidth="1"/>
    <col min="3842" max="3842" width="85.140625" style="323" customWidth="1"/>
    <col min="3843" max="4096" width="9.140625" style="323"/>
    <col min="4097" max="4097" width="7" style="323" customWidth="1"/>
    <col min="4098" max="4098" width="85.140625" style="323" customWidth="1"/>
    <col min="4099" max="4352" width="9.140625" style="323"/>
    <col min="4353" max="4353" width="7" style="323" customWidth="1"/>
    <col min="4354" max="4354" width="85.140625" style="323" customWidth="1"/>
    <col min="4355" max="4608" width="9.140625" style="323"/>
    <col min="4609" max="4609" width="7" style="323" customWidth="1"/>
    <col min="4610" max="4610" width="85.140625" style="323" customWidth="1"/>
    <col min="4611" max="4864" width="9.140625" style="323"/>
    <col min="4865" max="4865" width="7" style="323" customWidth="1"/>
    <col min="4866" max="4866" width="85.140625" style="323" customWidth="1"/>
    <col min="4867" max="5120" width="9.140625" style="323"/>
    <col min="5121" max="5121" width="7" style="323" customWidth="1"/>
    <col min="5122" max="5122" width="85.140625" style="323" customWidth="1"/>
    <col min="5123" max="5376" width="9.140625" style="323"/>
    <col min="5377" max="5377" width="7" style="323" customWidth="1"/>
    <col min="5378" max="5378" width="85.140625" style="323" customWidth="1"/>
    <col min="5379" max="5632" width="9.140625" style="323"/>
    <col min="5633" max="5633" width="7" style="323" customWidth="1"/>
    <col min="5634" max="5634" width="85.140625" style="323" customWidth="1"/>
    <col min="5635" max="5888" width="9.140625" style="323"/>
    <col min="5889" max="5889" width="7" style="323" customWidth="1"/>
    <col min="5890" max="5890" width="85.140625" style="323" customWidth="1"/>
    <col min="5891" max="6144" width="9.140625" style="323"/>
    <col min="6145" max="6145" width="7" style="323" customWidth="1"/>
    <col min="6146" max="6146" width="85.140625" style="323" customWidth="1"/>
    <col min="6147" max="6400" width="9.140625" style="323"/>
    <col min="6401" max="6401" width="7" style="323" customWidth="1"/>
    <col min="6402" max="6402" width="85.140625" style="323" customWidth="1"/>
    <col min="6403" max="6656" width="9.140625" style="323"/>
    <col min="6657" max="6657" width="7" style="323" customWidth="1"/>
    <col min="6658" max="6658" width="85.140625" style="323" customWidth="1"/>
    <col min="6659" max="6912" width="9.140625" style="323"/>
    <col min="6913" max="6913" width="7" style="323" customWidth="1"/>
    <col min="6914" max="6914" width="85.140625" style="323" customWidth="1"/>
    <col min="6915" max="7168" width="9.140625" style="323"/>
    <col min="7169" max="7169" width="7" style="323" customWidth="1"/>
    <col min="7170" max="7170" width="85.140625" style="323" customWidth="1"/>
    <col min="7171" max="7424" width="9.140625" style="323"/>
    <col min="7425" max="7425" width="7" style="323" customWidth="1"/>
    <col min="7426" max="7426" width="85.140625" style="323" customWidth="1"/>
    <col min="7427" max="7680" width="9.140625" style="323"/>
    <col min="7681" max="7681" width="7" style="323" customWidth="1"/>
    <col min="7682" max="7682" width="85.140625" style="323" customWidth="1"/>
    <col min="7683" max="7936" width="9.140625" style="323"/>
    <col min="7937" max="7937" width="7" style="323" customWidth="1"/>
    <col min="7938" max="7938" width="85.140625" style="323" customWidth="1"/>
    <col min="7939" max="8192" width="9.140625" style="323"/>
    <col min="8193" max="8193" width="7" style="323" customWidth="1"/>
    <col min="8194" max="8194" width="85.140625" style="323" customWidth="1"/>
    <col min="8195" max="8448" width="9.140625" style="323"/>
    <col min="8449" max="8449" width="7" style="323" customWidth="1"/>
    <col min="8450" max="8450" width="85.140625" style="323" customWidth="1"/>
    <col min="8451" max="8704" width="9.140625" style="323"/>
    <col min="8705" max="8705" width="7" style="323" customWidth="1"/>
    <col min="8706" max="8706" width="85.140625" style="323" customWidth="1"/>
    <col min="8707" max="8960" width="9.140625" style="323"/>
    <col min="8961" max="8961" width="7" style="323" customWidth="1"/>
    <col min="8962" max="8962" width="85.140625" style="323" customWidth="1"/>
    <col min="8963" max="9216" width="9.140625" style="323"/>
    <col min="9217" max="9217" width="7" style="323" customWidth="1"/>
    <col min="9218" max="9218" width="85.140625" style="323" customWidth="1"/>
    <col min="9219" max="9472" width="9.140625" style="323"/>
    <col min="9473" max="9473" width="7" style="323" customWidth="1"/>
    <col min="9474" max="9474" width="85.140625" style="323" customWidth="1"/>
    <col min="9475" max="9728" width="9.140625" style="323"/>
    <col min="9729" max="9729" width="7" style="323" customWidth="1"/>
    <col min="9730" max="9730" width="85.140625" style="323" customWidth="1"/>
    <col min="9731" max="9984" width="9.140625" style="323"/>
    <col min="9985" max="9985" width="7" style="323" customWidth="1"/>
    <col min="9986" max="9986" width="85.140625" style="323" customWidth="1"/>
    <col min="9987" max="10240" width="9.140625" style="323"/>
    <col min="10241" max="10241" width="7" style="323" customWidth="1"/>
    <col min="10242" max="10242" width="85.140625" style="323" customWidth="1"/>
    <col min="10243" max="10496" width="9.140625" style="323"/>
    <col min="10497" max="10497" width="7" style="323" customWidth="1"/>
    <col min="10498" max="10498" width="85.140625" style="323" customWidth="1"/>
    <col min="10499" max="10752" width="9.140625" style="323"/>
    <col min="10753" max="10753" width="7" style="323" customWidth="1"/>
    <col min="10754" max="10754" width="85.140625" style="323" customWidth="1"/>
    <col min="10755" max="11008" width="9.140625" style="323"/>
    <col min="11009" max="11009" width="7" style="323" customWidth="1"/>
    <col min="11010" max="11010" width="85.140625" style="323" customWidth="1"/>
    <col min="11011" max="11264" width="9.140625" style="323"/>
    <col min="11265" max="11265" width="7" style="323" customWidth="1"/>
    <col min="11266" max="11266" width="85.140625" style="323" customWidth="1"/>
    <col min="11267" max="11520" width="9.140625" style="323"/>
    <col min="11521" max="11521" width="7" style="323" customWidth="1"/>
    <col min="11522" max="11522" width="85.140625" style="323" customWidth="1"/>
    <col min="11523" max="11776" width="9.140625" style="323"/>
    <col min="11777" max="11777" width="7" style="323" customWidth="1"/>
    <col min="11778" max="11778" width="85.140625" style="323" customWidth="1"/>
    <col min="11779" max="12032" width="9.140625" style="323"/>
    <col min="12033" max="12033" width="7" style="323" customWidth="1"/>
    <col min="12034" max="12034" width="85.140625" style="323" customWidth="1"/>
    <col min="12035" max="12288" width="9.140625" style="323"/>
    <col min="12289" max="12289" width="7" style="323" customWidth="1"/>
    <col min="12290" max="12290" width="85.140625" style="323" customWidth="1"/>
    <col min="12291" max="12544" width="9.140625" style="323"/>
    <col min="12545" max="12545" width="7" style="323" customWidth="1"/>
    <col min="12546" max="12546" width="85.140625" style="323" customWidth="1"/>
    <col min="12547" max="12800" width="9.140625" style="323"/>
    <col min="12801" max="12801" width="7" style="323" customWidth="1"/>
    <col min="12802" max="12802" width="85.140625" style="323" customWidth="1"/>
    <col min="12803" max="13056" width="9.140625" style="323"/>
    <col min="13057" max="13057" width="7" style="323" customWidth="1"/>
    <col min="13058" max="13058" width="85.140625" style="323" customWidth="1"/>
    <col min="13059" max="13312" width="9.140625" style="323"/>
    <col min="13313" max="13313" width="7" style="323" customWidth="1"/>
    <col min="13314" max="13314" width="85.140625" style="323" customWidth="1"/>
    <col min="13315" max="13568" width="9.140625" style="323"/>
    <col min="13569" max="13569" width="7" style="323" customWidth="1"/>
    <col min="13570" max="13570" width="85.140625" style="323" customWidth="1"/>
    <col min="13571" max="13824" width="9.140625" style="323"/>
    <col min="13825" max="13825" width="7" style="323" customWidth="1"/>
    <col min="13826" max="13826" width="85.140625" style="323" customWidth="1"/>
    <col min="13827" max="14080" width="9.140625" style="323"/>
    <col min="14081" max="14081" width="7" style="323" customWidth="1"/>
    <col min="14082" max="14082" width="85.140625" style="323" customWidth="1"/>
    <col min="14083" max="14336" width="9.140625" style="323"/>
    <col min="14337" max="14337" width="7" style="323" customWidth="1"/>
    <col min="14338" max="14338" width="85.140625" style="323" customWidth="1"/>
    <col min="14339" max="14592" width="9.140625" style="323"/>
    <col min="14593" max="14593" width="7" style="323" customWidth="1"/>
    <col min="14594" max="14594" width="85.140625" style="323" customWidth="1"/>
    <col min="14595" max="14848" width="9.140625" style="323"/>
    <col min="14849" max="14849" width="7" style="323" customWidth="1"/>
    <col min="14850" max="14850" width="85.140625" style="323" customWidth="1"/>
    <col min="14851" max="15104" width="9.140625" style="323"/>
    <col min="15105" max="15105" width="7" style="323" customWidth="1"/>
    <col min="15106" max="15106" width="85.140625" style="323" customWidth="1"/>
    <col min="15107" max="15360" width="9.140625" style="323"/>
    <col min="15361" max="15361" width="7" style="323" customWidth="1"/>
    <col min="15362" max="15362" width="85.140625" style="323" customWidth="1"/>
    <col min="15363" max="15616" width="9.140625" style="323"/>
    <col min="15617" max="15617" width="7" style="323" customWidth="1"/>
    <col min="15618" max="15618" width="85.140625" style="323" customWidth="1"/>
    <col min="15619" max="15872" width="9.140625" style="323"/>
    <col min="15873" max="15873" width="7" style="323" customWidth="1"/>
    <col min="15874" max="15874" width="85.140625" style="323" customWidth="1"/>
    <col min="15875" max="16128" width="9.140625" style="323"/>
    <col min="16129" max="16129" width="7" style="323" customWidth="1"/>
    <col min="16130" max="16130" width="85.140625" style="323" customWidth="1"/>
    <col min="16131" max="16384" width="9.140625" style="323"/>
  </cols>
  <sheetData>
    <row r="1" spans="1:2">
      <c r="A1" s="771" t="s">
        <v>831</v>
      </c>
      <c r="B1" s="771"/>
    </row>
    <row r="2" spans="1:2" ht="15">
      <c r="A2" s="772"/>
      <c r="B2" s="772"/>
    </row>
    <row r="3" spans="1:2" ht="15">
      <c r="A3" s="324"/>
    </row>
    <row r="4" spans="1:2" ht="63.75" customHeight="1">
      <c r="A4" s="773" t="s">
        <v>832</v>
      </c>
      <c r="B4" s="773"/>
    </row>
    <row r="5" spans="1:2" ht="69" customHeight="1" thickBot="1">
      <c r="A5" s="325"/>
    </row>
    <row r="6" spans="1:2" ht="15.75" thickBot="1">
      <c r="A6" s="326" t="s">
        <v>833</v>
      </c>
      <c r="B6" s="327" t="s">
        <v>834</v>
      </c>
    </row>
    <row r="7" spans="1:2" ht="45.75" thickBot="1">
      <c r="A7" s="328">
        <v>1</v>
      </c>
      <c r="B7" s="329" t="s">
        <v>835</v>
      </c>
    </row>
    <row r="8" spans="1:2" ht="15.75" thickBot="1">
      <c r="A8" s="328">
        <v>2</v>
      </c>
      <c r="B8" s="329" t="s">
        <v>836</v>
      </c>
    </row>
    <row r="9" spans="1:2" ht="30.75" thickBot="1">
      <c r="A9" s="328">
        <v>3</v>
      </c>
      <c r="B9" s="329" t="s">
        <v>837</v>
      </c>
    </row>
    <row r="10" spans="1:2" ht="45.75" thickBot="1">
      <c r="A10" s="328">
        <v>4</v>
      </c>
      <c r="B10" s="329" t="s">
        <v>838</v>
      </c>
    </row>
    <row r="11" spans="1:2" ht="21" customHeight="1" thickBot="1">
      <c r="A11" s="328">
        <v>5</v>
      </c>
      <c r="B11" s="329" t="s">
        <v>839</v>
      </c>
    </row>
    <row r="12" spans="1:2" ht="21.75" customHeight="1" thickBot="1">
      <c r="A12" s="330">
        <v>6</v>
      </c>
      <c r="B12" s="331" t="s">
        <v>840</v>
      </c>
    </row>
    <row r="13" spans="1:2" ht="15" hidden="1">
      <c r="A13" s="332"/>
      <c r="B13" s="774" t="s">
        <v>841</v>
      </c>
    </row>
    <row r="14" spans="1:2" ht="74.25" customHeight="1" thickBot="1">
      <c r="A14" s="328">
        <v>7</v>
      </c>
      <c r="B14" s="775"/>
    </row>
    <row r="15" spans="1:2" ht="15">
      <c r="A15" s="325"/>
      <c r="B15" s="333"/>
    </row>
  </sheetData>
  <mergeCells count="4">
    <mergeCell ref="A1:B1"/>
    <mergeCell ref="A2:B2"/>
    <mergeCell ref="A4:B4"/>
    <mergeCell ref="B13:B14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F190"/>
  <sheetViews>
    <sheetView workbookViewId="0">
      <selection activeCell="A3" sqref="A3:F3"/>
    </sheetView>
  </sheetViews>
  <sheetFormatPr defaultRowHeight="12.75"/>
  <cols>
    <col min="1" max="1" width="5.140625" style="360" customWidth="1"/>
    <col min="2" max="2" width="29.42578125" style="495" bestFit="1" customWidth="1"/>
    <col min="3" max="3" width="12" style="361" customWidth="1"/>
    <col min="4" max="4" width="8.42578125" style="361" customWidth="1"/>
    <col min="5" max="5" width="14.85546875" style="361" customWidth="1"/>
    <col min="6" max="6" width="28.7109375" style="495" customWidth="1"/>
    <col min="7" max="16384" width="9.140625" style="505"/>
  </cols>
  <sheetData>
    <row r="1" spans="1:6">
      <c r="F1" s="242" t="s">
        <v>847</v>
      </c>
    </row>
    <row r="3" spans="1:6" ht="47.25" customHeight="1">
      <c r="A3" s="812" t="s">
        <v>995</v>
      </c>
      <c r="B3" s="812"/>
      <c r="C3" s="812"/>
      <c r="D3" s="812"/>
      <c r="E3" s="812"/>
      <c r="F3" s="812"/>
    </row>
    <row r="4" spans="1:6">
      <c r="C4" s="506"/>
      <c r="D4" s="506"/>
      <c r="E4" s="506"/>
      <c r="F4" s="492"/>
    </row>
    <row r="5" spans="1:6" ht="51">
      <c r="A5" s="566" t="s">
        <v>1</v>
      </c>
      <c r="B5" s="569" t="s">
        <v>2</v>
      </c>
      <c r="C5" s="569" t="s">
        <v>848</v>
      </c>
      <c r="D5" s="569" t="s">
        <v>849</v>
      </c>
      <c r="E5" s="569" t="s">
        <v>5</v>
      </c>
      <c r="F5" s="566" t="s">
        <v>994</v>
      </c>
    </row>
    <row r="6" spans="1:6" ht="15.75">
      <c r="A6" s="811" t="s">
        <v>820</v>
      </c>
      <c r="B6" s="811"/>
      <c r="C6" s="811"/>
      <c r="D6" s="811"/>
      <c r="E6" s="811"/>
      <c r="F6" s="811"/>
    </row>
    <row r="7" spans="1:6">
      <c r="A7" s="808" t="s">
        <v>688</v>
      </c>
      <c r="B7" s="809"/>
      <c r="C7" s="809"/>
      <c r="D7" s="809"/>
      <c r="E7" s="809"/>
      <c r="F7" s="810"/>
    </row>
    <row r="8" spans="1:6">
      <c r="A8" s="372">
        <v>1</v>
      </c>
      <c r="B8" s="494" t="s">
        <v>850</v>
      </c>
      <c r="C8" s="569">
        <v>631</v>
      </c>
      <c r="D8" s="571" t="s">
        <v>15</v>
      </c>
      <c r="E8" s="364" t="s">
        <v>42</v>
      </c>
      <c r="F8" s="567" t="s">
        <v>690</v>
      </c>
    </row>
    <row r="9" spans="1:6">
      <c r="A9" s="372">
        <v>2</v>
      </c>
      <c r="B9" s="494" t="s">
        <v>850</v>
      </c>
      <c r="C9" s="364">
        <v>540</v>
      </c>
      <c r="D9" s="571" t="s">
        <v>15</v>
      </c>
      <c r="E9" s="364" t="s">
        <v>42</v>
      </c>
      <c r="F9" s="567" t="s">
        <v>693</v>
      </c>
    </row>
    <row r="10" spans="1:6">
      <c r="A10" s="372">
        <v>3</v>
      </c>
      <c r="B10" s="494" t="s">
        <v>983</v>
      </c>
      <c r="C10" s="364">
        <v>398</v>
      </c>
      <c r="D10" s="571" t="s">
        <v>15</v>
      </c>
      <c r="E10" s="364" t="s">
        <v>42</v>
      </c>
      <c r="F10" s="572" t="s">
        <v>851</v>
      </c>
    </row>
    <row r="11" spans="1:6" ht="14.25" customHeight="1">
      <c r="A11" s="372">
        <v>4</v>
      </c>
      <c r="B11" s="494" t="s">
        <v>983</v>
      </c>
      <c r="C11" s="569">
        <v>1040</v>
      </c>
      <c r="D11" s="571" t="s">
        <v>20</v>
      </c>
      <c r="E11" s="493" t="s">
        <v>366</v>
      </c>
      <c r="F11" s="572" t="s">
        <v>701</v>
      </c>
    </row>
    <row r="12" spans="1:6">
      <c r="A12" s="566">
        <v>5</v>
      </c>
      <c r="B12" s="567" t="s">
        <v>852</v>
      </c>
      <c r="C12" s="569">
        <v>127</v>
      </c>
      <c r="D12" s="571" t="s">
        <v>15</v>
      </c>
      <c r="E12" s="364" t="s">
        <v>42</v>
      </c>
      <c r="F12" s="572" t="s">
        <v>705</v>
      </c>
    </row>
    <row r="13" spans="1:6">
      <c r="A13" s="566">
        <v>6</v>
      </c>
      <c r="B13" s="494" t="s">
        <v>853</v>
      </c>
      <c r="C13" s="372">
        <v>280</v>
      </c>
      <c r="D13" s="571" t="s">
        <v>15</v>
      </c>
      <c r="E13" s="364" t="s">
        <v>42</v>
      </c>
      <c r="F13" s="572" t="s">
        <v>708</v>
      </c>
    </row>
    <row r="14" spans="1:6">
      <c r="A14" s="808" t="s">
        <v>710</v>
      </c>
      <c r="B14" s="809"/>
      <c r="C14" s="809"/>
      <c r="D14" s="809"/>
      <c r="E14" s="809"/>
      <c r="F14" s="810"/>
    </row>
    <row r="15" spans="1:6">
      <c r="A15" s="566">
        <v>1</v>
      </c>
      <c r="B15" s="567" t="s">
        <v>93</v>
      </c>
      <c r="C15" s="569">
        <v>955</v>
      </c>
      <c r="D15" s="571" t="s">
        <v>15</v>
      </c>
      <c r="E15" s="364" t="s">
        <v>42</v>
      </c>
      <c r="F15" s="567" t="s">
        <v>711</v>
      </c>
    </row>
    <row r="16" spans="1:6">
      <c r="A16" s="808" t="s">
        <v>716</v>
      </c>
      <c r="B16" s="809"/>
      <c r="C16" s="809"/>
      <c r="D16" s="809"/>
      <c r="E16" s="809"/>
      <c r="F16" s="810"/>
    </row>
    <row r="17" spans="1:6">
      <c r="A17" s="785">
        <v>1</v>
      </c>
      <c r="B17" s="786" t="s">
        <v>717</v>
      </c>
      <c r="C17" s="793">
        <v>740</v>
      </c>
      <c r="D17" s="571" t="s">
        <v>15</v>
      </c>
      <c r="E17" s="364" t="s">
        <v>42</v>
      </c>
      <c r="F17" s="567" t="s">
        <v>725</v>
      </c>
    </row>
    <row r="18" spans="1:6">
      <c r="A18" s="785"/>
      <c r="B18" s="786"/>
      <c r="C18" s="793"/>
      <c r="D18" s="571" t="s">
        <v>15</v>
      </c>
      <c r="E18" s="364" t="s">
        <v>42</v>
      </c>
      <c r="F18" s="567" t="s">
        <v>718</v>
      </c>
    </row>
    <row r="19" spans="1:6">
      <c r="A19" s="808" t="s">
        <v>962</v>
      </c>
      <c r="B19" s="809"/>
      <c r="C19" s="809"/>
      <c r="D19" s="809"/>
      <c r="E19" s="809"/>
      <c r="F19" s="810"/>
    </row>
    <row r="20" spans="1:6">
      <c r="A20" s="566">
        <v>1</v>
      </c>
      <c r="B20" s="567" t="s">
        <v>726</v>
      </c>
      <c r="C20" s="569">
        <v>537</v>
      </c>
      <c r="D20" s="571" t="s">
        <v>15</v>
      </c>
      <c r="E20" s="364" t="s">
        <v>42</v>
      </c>
      <c r="F20" s="567" t="s">
        <v>727</v>
      </c>
    </row>
    <row r="21" spans="1:6">
      <c r="A21" s="808" t="s">
        <v>963</v>
      </c>
      <c r="B21" s="809"/>
      <c r="C21" s="809"/>
      <c r="D21" s="809"/>
      <c r="E21" s="809"/>
      <c r="F21" s="810"/>
    </row>
    <row r="22" spans="1:6">
      <c r="A22" s="566">
        <v>1</v>
      </c>
      <c r="B22" s="567" t="s">
        <v>854</v>
      </c>
      <c r="C22" s="569">
        <v>393</v>
      </c>
      <c r="D22" s="571" t="s">
        <v>15</v>
      </c>
      <c r="E22" s="364" t="s">
        <v>42</v>
      </c>
      <c r="F22" s="567" t="s">
        <v>729</v>
      </c>
    </row>
    <row r="23" spans="1:6">
      <c r="A23" s="808" t="s">
        <v>855</v>
      </c>
      <c r="B23" s="809"/>
      <c r="C23" s="809"/>
      <c r="D23" s="809"/>
      <c r="E23" s="809"/>
      <c r="F23" s="810"/>
    </row>
    <row r="24" spans="1:6">
      <c r="A24" s="566">
        <v>1</v>
      </c>
      <c r="B24" s="567" t="s">
        <v>856</v>
      </c>
      <c r="C24" s="569">
        <v>240</v>
      </c>
      <c r="D24" s="571" t="s">
        <v>15</v>
      </c>
      <c r="E24" s="364" t="s">
        <v>42</v>
      </c>
      <c r="F24" s="786" t="s">
        <v>756</v>
      </c>
    </row>
    <row r="25" spans="1:6">
      <c r="A25" s="566">
        <v>2</v>
      </c>
      <c r="B25" s="573" t="s">
        <v>857</v>
      </c>
      <c r="C25" s="364">
        <v>120</v>
      </c>
      <c r="D25" s="571" t="s">
        <v>15</v>
      </c>
      <c r="E25" s="364" t="s">
        <v>42</v>
      </c>
      <c r="F25" s="786"/>
    </row>
    <row r="26" spans="1:6">
      <c r="A26" s="566">
        <v>3</v>
      </c>
      <c r="B26" s="567" t="s">
        <v>858</v>
      </c>
      <c r="C26" s="569">
        <v>400</v>
      </c>
      <c r="D26" s="571" t="s">
        <v>15</v>
      </c>
      <c r="E26" s="364" t="s">
        <v>42</v>
      </c>
      <c r="F26" s="572" t="s">
        <v>859</v>
      </c>
    </row>
    <row r="27" spans="1:6">
      <c r="A27" s="808" t="s">
        <v>733</v>
      </c>
      <c r="B27" s="809"/>
      <c r="C27" s="809"/>
      <c r="D27" s="809"/>
      <c r="E27" s="809"/>
      <c r="F27" s="810"/>
    </row>
    <row r="28" spans="1:6">
      <c r="A28" s="566">
        <v>1</v>
      </c>
      <c r="B28" s="494" t="s">
        <v>860</v>
      </c>
      <c r="C28" s="372">
        <v>600</v>
      </c>
      <c r="D28" s="571" t="s">
        <v>15</v>
      </c>
      <c r="E28" s="364" t="s">
        <v>42</v>
      </c>
      <c r="F28" s="377" t="s">
        <v>861</v>
      </c>
    </row>
    <row r="29" spans="1:6">
      <c r="A29" s="566">
        <v>2</v>
      </c>
      <c r="B29" s="494" t="s">
        <v>862</v>
      </c>
      <c r="C29" s="372">
        <v>426</v>
      </c>
      <c r="D29" s="571" t="s">
        <v>15</v>
      </c>
      <c r="E29" s="364" t="s">
        <v>42</v>
      </c>
      <c r="F29" s="572" t="s">
        <v>863</v>
      </c>
    </row>
    <row r="30" spans="1:6">
      <c r="A30" s="808" t="s">
        <v>864</v>
      </c>
      <c r="B30" s="809"/>
      <c r="C30" s="809"/>
      <c r="D30" s="809"/>
      <c r="E30" s="809"/>
      <c r="F30" s="810"/>
    </row>
    <row r="31" spans="1:6">
      <c r="A31" s="566">
        <v>1</v>
      </c>
      <c r="B31" s="567" t="s">
        <v>764</v>
      </c>
      <c r="C31" s="569">
        <v>700</v>
      </c>
      <c r="D31" s="571" t="s">
        <v>15</v>
      </c>
      <c r="E31" s="364" t="s">
        <v>42</v>
      </c>
      <c r="F31" s="567" t="s">
        <v>865</v>
      </c>
    </row>
    <row r="32" spans="1:6">
      <c r="A32" s="808" t="s">
        <v>768</v>
      </c>
      <c r="B32" s="809"/>
      <c r="C32" s="809"/>
      <c r="D32" s="809"/>
      <c r="E32" s="809"/>
      <c r="F32" s="810"/>
    </row>
    <row r="33" spans="1:6">
      <c r="A33" s="372">
        <v>1</v>
      </c>
      <c r="B33" s="494" t="s">
        <v>769</v>
      </c>
      <c r="C33" s="372">
        <v>240</v>
      </c>
      <c r="D33" s="571" t="s">
        <v>15</v>
      </c>
      <c r="E33" s="364" t="s">
        <v>42</v>
      </c>
      <c r="F33" s="494" t="s">
        <v>770</v>
      </c>
    </row>
    <row r="34" spans="1:6">
      <c r="A34" s="808" t="s">
        <v>866</v>
      </c>
      <c r="B34" s="809"/>
      <c r="C34" s="809"/>
      <c r="D34" s="809"/>
      <c r="E34" s="809"/>
      <c r="F34" s="810"/>
    </row>
    <row r="35" spans="1:6">
      <c r="A35" s="372">
        <v>1</v>
      </c>
      <c r="B35" s="567" t="s">
        <v>774</v>
      </c>
      <c r="C35" s="569">
        <v>460</v>
      </c>
      <c r="D35" s="571" t="s">
        <v>15</v>
      </c>
      <c r="E35" s="364" t="s">
        <v>42</v>
      </c>
      <c r="F35" s="567" t="s">
        <v>867</v>
      </c>
    </row>
    <row r="36" spans="1:6">
      <c r="A36" s="372">
        <v>2</v>
      </c>
      <c r="B36" s="567" t="s">
        <v>774</v>
      </c>
      <c r="C36" s="569">
        <v>650</v>
      </c>
      <c r="D36" s="571" t="s">
        <v>15</v>
      </c>
      <c r="E36" s="364" t="s">
        <v>42</v>
      </c>
      <c r="F36" s="567" t="s">
        <v>778</v>
      </c>
    </row>
    <row r="37" spans="1:6">
      <c r="A37" s="372">
        <v>3</v>
      </c>
      <c r="B37" s="567" t="s">
        <v>774</v>
      </c>
      <c r="C37" s="569">
        <v>625</v>
      </c>
      <c r="D37" s="571" t="s">
        <v>15</v>
      </c>
      <c r="E37" s="364" t="s">
        <v>42</v>
      </c>
      <c r="F37" s="567" t="s">
        <v>779</v>
      </c>
    </row>
    <row r="38" spans="1:6">
      <c r="A38" s="372">
        <v>4</v>
      </c>
      <c r="B38" s="567" t="s">
        <v>774</v>
      </c>
      <c r="C38" s="569">
        <v>625</v>
      </c>
      <c r="D38" s="571" t="s">
        <v>15</v>
      </c>
      <c r="E38" s="364" t="s">
        <v>42</v>
      </c>
      <c r="F38" s="567" t="s">
        <v>830</v>
      </c>
    </row>
    <row r="39" spans="1:6">
      <c r="A39" s="372">
        <v>5</v>
      </c>
      <c r="B39" s="573" t="s">
        <v>868</v>
      </c>
      <c r="C39" s="364">
        <v>400</v>
      </c>
      <c r="D39" s="571" t="s">
        <v>15</v>
      </c>
      <c r="E39" s="364" t="s">
        <v>42</v>
      </c>
      <c r="F39" s="567" t="s">
        <v>784</v>
      </c>
    </row>
    <row r="40" spans="1:6">
      <c r="A40" s="372">
        <v>6</v>
      </c>
      <c r="B40" s="573" t="s">
        <v>868</v>
      </c>
      <c r="C40" s="364">
        <v>520</v>
      </c>
      <c r="D40" s="571" t="s">
        <v>15</v>
      </c>
      <c r="E40" s="364" t="s">
        <v>42</v>
      </c>
      <c r="F40" s="567" t="s">
        <v>781</v>
      </c>
    </row>
    <row r="41" spans="1:6">
      <c r="A41" s="372">
        <v>7</v>
      </c>
      <c r="B41" s="573" t="s">
        <v>868</v>
      </c>
      <c r="C41" s="364">
        <v>520</v>
      </c>
      <c r="D41" s="571" t="s">
        <v>15</v>
      </c>
      <c r="E41" s="364" t="s">
        <v>42</v>
      </c>
      <c r="F41" s="567" t="s">
        <v>869</v>
      </c>
    </row>
    <row r="42" spans="1:6">
      <c r="A42" s="372">
        <v>8</v>
      </c>
      <c r="B42" s="567" t="s">
        <v>785</v>
      </c>
      <c r="C42" s="569">
        <v>500</v>
      </c>
      <c r="D42" s="571" t="s">
        <v>15</v>
      </c>
      <c r="E42" s="364" t="s">
        <v>42</v>
      </c>
      <c r="F42" s="572" t="s">
        <v>786</v>
      </c>
    </row>
    <row r="43" spans="1:6">
      <c r="A43" s="372">
        <v>9</v>
      </c>
      <c r="B43" s="494" t="s">
        <v>870</v>
      </c>
      <c r="C43" s="372">
        <v>642</v>
      </c>
      <c r="D43" s="571" t="s">
        <v>15</v>
      </c>
      <c r="E43" s="364" t="s">
        <v>42</v>
      </c>
      <c r="F43" s="572" t="s">
        <v>789</v>
      </c>
    </row>
    <row r="44" spans="1:6">
      <c r="A44" s="372">
        <v>10</v>
      </c>
      <c r="B44" s="567" t="s">
        <v>791</v>
      </c>
      <c r="C44" s="569">
        <v>499</v>
      </c>
      <c r="D44" s="571" t="s">
        <v>15</v>
      </c>
      <c r="E44" s="364" t="s">
        <v>42</v>
      </c>
      <c r="F44" s="567" t="s">
        <v>792</v>
      </c>
    </row>
    <row r="45" spans="1:6">
      <c r="A45" s="808" t="s">
        <v>800</v>
      </c>
      <c r="B45" s="809"/>
      <c r="C45" s="809"/>
      <c r="D45" s="809"/>
      <c r="E45" s="809"/>
      <c r="F45" s="810"/>
    </row>
    <row r="46" spans="1:6">
      <c r="A46" s="566">
        <v>1</v>
      </c>
      <c r="B46" s="567" t="s">
        <v>801</v>
      </c>
      <c r="C46" s="569">
        <v>350</v>
      </c>
      <c r="D46" s="571" t="s">
        <v>15</v>
      </c>
      <c r="E46" s="364" t="s">
        <v>42</v>
      </c>
      <c r="F46" s="567" t="s">
        <v>802</v>
      </c>
    </row>
    <row r="47" spans="1:6">
      <c r="A47" s="808" t="s">
        <v>871</v>
      </c>
      <c r="B47" s="809"/>
      <c r="C47" s="809"/>
      <c r="D47" s="809"/>
      <c r="E47" s="809"/>
      <c r="F47" s="810"/>
    </row>
    <row r="48" spans="1:6">
      <c r="A48" s="566">
        <v>1</v>
      </c>
      <c r="B48" s="567" t="s">
        <v>872</v>
      </c>
      <c r="C48" s="569">
        <v>894</v>
      </c>
      <c r="D48" s="571" t="s">
        <v>15</v>
      </c>
      <c r="E48" s="364" t="s">
        <v>42</v>
      </c>
      <c r="F48" s="567" t="s">
        <v>873</v>
      </c>
    </row>
    <row r="49" spans="1:6" ht="15">
      <c r="A49" s="507"/>
      <c r="B49" s="508" t="s">
        <v>663</v>
      </c>
      <c r="C49" s="507">
        <f>C8+C9+C10+C11+C12+C13+C15+C17+C20+C22+C24+C25+C26+C28+C29+C31+C33+C35+C36+C37+C38+C39+C40+C41+C42+C43+C44+C46+C48</f>
        <v>15052</v>
      </c>
      <c r="D49" s="509"/>
      <c r="E49" s="509"/>
      <c r="F49" s="508"/>
    </row>
    <row r="50" spans="1:6" ht="15.75">
      <c r="A50" s="811" t="s">
        <v>662</v>
      </c>
      <c r="B50" s="811"/>
      <c r="C50" s="811"/>
      <c r="D50" s="811"/>
      <c r="E50" s="811"/>
      <c r="F50" s="811"/>
    </row>
    <row r="51" spans="1:6">
      <c r="A51" s="808" t="s">
        <v>874</v>
      </c>
      <c r="B51" s="809"/>
      <c r="C51" s="809"/>
      <c r="D51" s="809"/>
      <c r="E51" s="809"/>
      <c r="F51" s="810"/>
    </row>
    <row r="52" spans="1:6" ht="18" customHeight="1">
      <c r="A52" s="785">
        <v>1</v>
      </c>
      <c r="B52" s="786" t="s">
        <v>8</v>
      </c>
      <c r="C52" s="372">
        <v>42.3</v>
      </c>
      <c r="D52" s="571" t="s">
        <v>15</v>
      </c>
      <c r="E52" s="569" t="s">
        <v>88</v>
      </c>
      <c r="F52" s="806" t="s">
        <v>31</v>
      </c>
    </row>
    <row r="53" spans="1:6">
      <c r="A53" s="785"/>
      <c r="B53" s="786"/>
      <c r="C53" s="569">
        <v>702.7</v>
      </c>
      <c r="D53" s="571" t="s">
        <v>15</v>
      </c>
      <c r="E53" s="364" t="s">
        <v>42</v>
      </c>
      <c r="F53" s="806"/>
    </row>
    <row r="54" spans="1:6">
      <c r="A54" s="566"/>
      <c r="B54" s="496" t="s">
        <v>58</v>
      </c>
      <c r="C54" s="569"/>
      <c r="D54" s="571"/>
      <c r="E54" s="364"/>
      <c r="F54" s="572"/>
    </row>
    <row r="55" spans="1:6" ht="14.25" customHeight="1">
      <c r="A55" s="785">
        <v>2</v>
      </c>
      <c r="B55" s="786" t="s">
        <v>8</v>
      </c>
      <c r="C55" s="372">
        <v>42.3</v>
      </c>
      <c r="D55" s="571" t="s">
        <v>15</v>
      </c>
      <c r="E55" s="569" t="s">
        <v>88</v>
      </c>
      <c r="F55" s="806" t="s">
        <v>875</v>
      </c>
    </row>
    <row r="56" spans="1:6">
      <c r="A56" s="785"/>
      <c r="B56" s="786"/>
      <c r="C56" s="569">
        <v>702.7</v>
      </c>
      <c r="D56" s="571" t="s">
        <v>15</v>
      </c>
      <c r="E56" s="364" t="s">
        <v>42</v>
      </c>
      <c r="F56" s="806"/>
    </row>
    <row r="57" spans="1:6">
      <c r="A57" s="566"/>
      <c r="B57" s="496" t="s">
        <v>58</v>
      </c>
      <c r="C57" s="569"/>
      <c r="D57" s="571"/>
      <c r="E57" s="364"/>
      <c r="F57" s="572"/>
    </row>
    <row r="58" spans="1:6" ht="13.5" customHeight="1">
      <c r="A58" s="785">
        <v>3</v>
      </c>
      <c r="B58" s="786" t="s">
        <v>876</v>
      </c>
      <c r="C58" s="372">
        <v>42.3</v>
      </c>
      <c r="D58" s="571" t="s">
        <v>15</v>
      </c>
      <c r="E58" s="569" t="s">
        <v>88</v>
      </c>
      <c r="F58" s="806" t="s">
        <v>877</v>
      </c>
    </row>
    <row r="59" spans="1:6">
      <c r="A59" s="785"/>
      <c r="B59" s="786"/>
      <c r="C59" s="569">
        <v>702.7</v>
      </c>
      <c r="D59" s="571" t="s">
        <v>15</v>
      </c>
      <c r="E59" s="364" t="s">
        <v>42</v>
      </c>
      <c r="F59" s="806"/>
    </row>
    <row r="60" spans="1:6">
      <c r="A60" s="566"/>
      <c r="B60" s="496" t="s">
        <v>58</v>
      </c>
      <c r="C60" s="569"/>
      <c r="D60" s="571"/>
      <c r="E60" s="364"/>
      <c r="F60" s="572"/>
    </row>
    <row r="61" spans="1:6">
      <c r="A61" s="566">
        <v>4</v>
      </c>
      <c r="B61" s="510" t="s">
        <v>43</v>
      </c>
      <c r="C61" s="364">
        <v>252.3</v>
      </c>
      <c r="D61" s="571" t="s">
        <v>15</v>
      </c>
      <c r="E61" s="364" t="s">
        <v>42</v>
      </c>
      <c r="F61" s="806" t="s">
        <v>50</v>
      </c>
    </row>
    <row r="62" spans="1:6">
      <c r="A62" s="566"/>
      <c r="B62" s="510" t="s">
        <v>53</v>
      </c>
      <c r="C62" s="364">
        <v>200</v>
      </c>
      <c r="D62" s="571" t="s">
        <v>15</v>
      </c>
      <c r="E62" s="364" t="s">
        <v>18</v>
      </c>
      <c r="F62" s="806"/>
    </row>
    <row r="63" spans="1:6">
      <c r="A63" s="566"/>
      <c r="B63" s="496" t="s">
        <v>58</v>
      </c>
      <c r="C63" s="364"/>
      <c r="D63" s="571"/>
      <c r="E63" s="364"/>
      <c r="F63" s="572"/>
    </row>
    <row r="64" spans="1:6">
      <c r="A64" s="566">
        <v>5</v>
      </c>
      <c r="B64" s="573" t="s">
        <v>43</v>
      </c>
      <c r="C64" s="364">
        <v>252.3</v>
      </c>
      <c r="D64" s="571" t="s">
        <v>15</v>
      </c>
      <c r="E64" s="364" t="s">
        <v>42</v>
      </c>
      <c r="F64" s="572" t="s">
        <v>878</v>
      </c>
    </row>
    <row r="65" spans="1:6">
      <c r="A65" s="785">
        <v>6</v>
      </c>
      <c r="B65" s="807" t="s">
        <v>43</v>
      </c>
      <c r="C65" s="364">
        <v>252.3</v>
      </c>
      <c r="D65" s="571" t="s">
        <v>15</v>
      </c>
      <c r="E65" s="364" t="s">
        <v>42</v>
      </c>
      <c r="F65" s="806" t="s">
        <v>44</v>
      </c>
    </row>
    <row r="66" spans="1:6" ht="15" customHeight="1">
      <c r="A66" s="785"/>
      <c r="B66" s="807"/>
      <c r="C66" s="364">
        <v>50</v>
      </c>
      <c r="D66" s="571" t="s">
        <v>15</v>
      </c>
      <c r="E66" s="569" t="s">
        <v>88</v>
      </c>
      <c r="F66" s="806"/>
    </row>
    <row r="67" spans="1:6">
      <c r="A67" s="569"/>
      <c r="B67" s="573"/>
      <c r="C67" s="373">
        <f>SUM(C52:C66)</f>
        <v>3241.9000000000005</v>
      </c>
      <c r="D67" s="571"/>
      <c r="E67" s="569"/>
      <c r="F67" s="572"/>
    </row>
    <row r="68" spans="1:6">
      <c r="A68" s="801" t="s">
        <v>59</v>
      </c>
      <c r="B68" s="802"/>
      <c r="C68" s="802"/>
      <c r="D68" s="802"/>
      <c r="E68" s="802"/>
      <c r="F68" s="803"/>
    </row>
    <row r="69" spans="1:6" ht="15.75" customHeight="1">
      <c r="A69" s="804">
        <v>1</v>
      </c>
      <c r="B69" s="805" t="s">
        <v>879</v>
      </c>
      <c r="C69" s="569">
        <v>22</v>
      </c>
      <c r="D69" s="571" t="s">
        <v>15</v>
      </c>
      <c r="E69" s="569" t="s">
        <v>88</v>
      </c>
      <c r="F69" s="806" t="s">
        <v>61</v>
      </c>
    </row>
    <row r="70" spans="1:6">
      <c r="A70" s="804"/>
      <c r="B70" s="805"/>
      <c r="C70" s="569">
        <v>786</v>
      </c>
      <c r="D70" s="571" t="s">
        <v>15</v>
      </c>
      <c r="E70" s="364" t="s">
        <v>42</v>
      </c>
      <c r="F70" s="806"/>
    </row>
    <row r="71" spans="1:6" ht="17.25" customHeight="1">
      <c r="A71" s="785">
        <v>3</v>
      </c>
      <c r="B71" s="494" t="s">
        <v>880</v>
      </c>
      <c r="C71" s="372">
        <v>15</v>
      </c>
      <c r="D71" s="571" t="s">
        <v>15</v>
      </c>
      <c r="E71" s="569" t="s">
        <v>88</v>
      </c>
      <c r="F71" s="806" t="s">
        <v>66</v>
      </c>
    </row>
    <row r="72" spans="1:6">
      <c r="A72" s="785"/>
      <c r="B72" s="494" t="s">
        <v>880</v>
      </c>
      <c r="C72" s="372">
        <v>415</v>
      </c>
      <c r="D72" s="571" t="s">
        <v>15</v>
      </c>
      <c r="E72" s="364" t="s">
        <v>42</v>
      </c>
      <c r="F72" s="806"/>
    </row>
    <row r="73" spans="1:6" ht="16.5" customHeight="1">
      <c r="A73" s="785">
        <v>4</v>
      </c>
      <c r="B73" s="494" t="s">
        <v>880</v>
      </c>
      <c r="C73" s="372">
        <v>15</v>
      </c>
      <c r="D73" s="571" t="s">
        <v>15</v>
      </c>
      <c r="E73" s="569" t="s">
        <v>88</v>
      </c>
      <c r="F73" s="806" t="s">
        <v>881</v>
      </c>
    </row>
    <row r="74" spans="1:6">
      <c r="A74" s="785"/>
      <c r="B74" s="494" t="s">
        <v>880</v>
      </c>
      <c r="C74" s="372">
        <v>315</v>
      </c>
      <c r="D74" s="571" t="s">
        <v>15</v>
      </c>
      <c r="E74" s="364" t="s">
        <v>42</v>
      </c>
      <c r="F74" s="806"/>
    </row>
    <row r="75" spans="1:6">
      <c r="A75" s="566"/>
      <c r="B75" s="494" t="s">
        <v>882</v>
      </c>
      <c r="C75" s="372">
        <v>40</v>
      </c>
      <c r="D75" s="571" t="s">
        <v>15</v>
      </c>
      <c r="E75" s="364" t="s">
        <v>42</v>
      </c>
      <c r="F75" s="572" t="s">
        <v>87</v>
      </c>
    </row>
    <row r="76" spans="1:6" ht="14.25" customHeight="1">
      <c r="A76" s="566">
        <v>5</v>
      </c>
      <c r="B76" s="494" t="s">
        <v>883</v>
      </c>
      <c r="C76" s="372">
        <v>80</v>
      </c>
      <c r="D76" s="571" t="s">
        <v>15</v>
      </c>
      <c r="E76" s="569" t="s">
        <v>88</v>
      </c>
      <c r="F76" s="806" t="s">
        <v>90</v>
      </c>
    </row>
    <row r="77" spans="1:6" ht="15" customHeight="1">
      <c r="A77" s="566">
        <v>6</v>
      </c>
      <c r="B77" s="494" t="s">
        <v>884</v>
      </c>
      <c r="C77" s="372">
        <v>60</v>
      </c>
      <c r="D77" s="571" t="s">
        <v>15</v>
      </c>
      <c r="E77" s="569" t="s">
        <v>88</v>
      </c>
      <c r="F77" s="806"/>
    </row>
    <row r="78" spans="1:6" ht="15.75" customHeight="1">
      <c r="A78" s="566"/>
      <c r="B78" s="494" t="s">
        <v>885</v>
      </c>
      <c r="C78" s="372">
        <v>190</v>
      </c>
      <c r="D78" s="571" t="s">
        <v>15</v>
      </c>
      <c r="E78" s="569" t="s">
        <v>366</v>
      </c>
      <c r="F78" s="806"/>
    </row>
    <row r="79" spans="1:6">
      <c r="A79" s="566"/>
      <c r="B79" s="511" t="s">
        <v>58</v>
      </c>
      <c r="C79" s="401">
        <f>SUM(C69:C78)</f>
        <v>1938</v>
      </c>
      <c r="D79" s="571"/>
      <c r="E79" s="364"/>
      <c r="F79" s="572"/>
    </row>
    <row r="80" spans="1:6">
      <c r="A80" s="801" t="s">
        <v>92</v>
      </c>
      <c r="B80" s="802"/>
      <c r="C80" s="802"/>
      <c r="D80" s="802"/>
      <c r="E80" s="802"/>
      <c r="F80" s="803"/>
    </row>
    <row r="81" spans="1:6">
      <c r="A81" s="566">
        <v>1</v>
      </c>
      <c r="B81" s="567" t="s">
        <v>93</v>
      </c>
      <c r="C81" s="569">
        <v>634</v>
      </c>
      <c r="D81" s="571" t="s">
        <v>15</v>
      </c>
      <c r="E81" s="364" t="s">
        <v>42</v>
      </c>
      <c r="F81" s="567" t="s">
        <v>94</v>
      </c>
    </row>
    <row r="82" spans="1:6">
      <c r="A82" s="801" t="s">
        <v>97</v>
      </c>
      <c r="B82" s="802"/>
      <c r="C82" s="802"/>
      <c r="D82" s="802"/>
      <c r="E82" s="802"/>
      <c r="F82" s="803"/>
    </row>
    <row r="83" spans="1:6">
      <c r="A83" s="566">
        <v>1</v>
      </c>
      <c r="B83" s="567" t="s">
        <v>886</v>
      </c>
      <c r="C83" s="569">
        <v>710</v>
      </c>
      <c r="D83" s="571" t="s">
        <v>15</v>
      </c>
      <c r="E83" s="364" t="s">
        <v>42</v>
      </c>
      <c r="F83" s="567" t="s">
        <v>887</v>
      </c>
    </row>
    <row r="84" spans="1:6" s="515" customFormat="1" ht="15.75">
      <c r="A84" s="512"/>
      <c r="B84" s="513" t="s">
        <v>663</v>
      </c>
      <c r="C84" s="442">
        <f>C67+C79+C81+C83</f>
        <v>6523.9000000000005</v>
      </c>
      <c r="D84" s="514"/>
      <c r="E84" s="440"/>
      <c r="F84" s="568"/>
    </row>
    <row r="85" spans="1:6" ht="15.75">
      <c r="A85" s="800" t="s">
        <v>107</v>
      </c>
      <c r="B85" s="800"/>
      <c r="C85" s="800"/>
      <c r="D85" s="800"/>
      <c r="E85" s="800"/>
      <c r="F85" s="800"/>
    </row>
    <row r="86" spans="1:6">
      <c r="A86" s="798" t="s">
        <v>108</v>
      </c>
      <c r="B86" s="798"/>
      <c r="C86" s="798"/>
      <c r="D86" s="798"/>
      <c r="E86" s="798"/>
      <c r="F86" s="798"/>
    </row>
    <row r="87" spans="1:6">
      <c r="A87" s="569">
        <v>1</v>
      </c>
      <c r="B87" s="516" t="s">
        <v>984</v>
      </c>
      <c r="C87" s="497">
        <v>425</v>
      </c>
      <c r="D87" s="571" t="s">
        <v>15</v>
      </c>
      <c r="E87" s="569" t="s">
        <v>42</v>
      </c>
      <c r="F87" s="567" t="s">
        <v>110</v>
      </c>
    </row>
    <row r="88" spans="1:6">
      <c r="A88" s="569">
        <v>2</v>
      </c>
      <c r="B88" s="572" t="s">
        <v>985</v>
      </c>
      <c r="C88" s="497">
        <v>75</v>
      </c>
      <c r="D88" s="571" t="s">
        <v>15</v>
      </c>
      <c r="E88" s="569" t="s">
        <v>42</v>
      </c>
      <c r="F88" s="567" t="s">
        <v>117</v>
      </c>
    </row>
    <row r="89" spans="1:6">
      <c r="A89" s="569">
        <v>3</v>
      </c>
      <c r="B89" s="572" t="s">
        <v>119</v>
      </c>
      <c r="C89" s="497">
        <v>200</v>
      </c>
      <c r="D89" s="571" t="s">
        <v>15</v>
      </c>
      <c r="E89" s="569" t="s">
        <v>42</v>
      </c>
      <c r="F89" s="567" t="s">
        <v>120</v>
      </c>
    </row>
    <row r="90" spans="1:6">
      <c r="A90" s="789"/>
      <c r="B90" s="789"/>
      <c r="C90" s="497">
        <f>SUM(C87:C89)</f>
        <v>700</v>
      </c>
      <c r="D90" s="799"/>
      <c r="E90" s="799"/>
      <c r="F90" s="799"/>
    </row>
    <row r="91" spans="1:6">
      <c r="A91" s="796" t="s">
        <v>121</v>
      </c>
      <c r="B91" s="796"/>
      <c r="C91" s="796"/>
      <c r="D91" s="796"/>
      <c r="E91" s="796"/>
      <c r="F91" s="796"/>
    </row>
    <row r="92" spans="1:6">
      <c r="A92" s="569">
        <v>1</v>
      </c>
      <c r="B92" s="572" t="s">
        <v>986</v>
      </c>
      <c r="C92" s="517">
        <v>125</v>
      </c>
      <c r="D92" s="571" t="s">
        <v>15</v>
      </c>
      <c r="E92" s="569" t="s">
        <v>42</v>
      </c>
      <c r="F92" s="567" t="s">
        <v>123</v>
      </c>
    </row>
    <row r="93" spans="1:6">
      <c r="A93" s="569">
        <v>2</v>
      </c>
      <c r="B93" s="572" t="s">
        <v>986</v>
      </c>
      <c r="C93" s="497">
        <v>125</v>
      </c>
      <c r="D93" s="571" t="s">
        <v>15</v>
      </c>
      <c r="E93" s="569" t="s">
        <v>42</v>
      </c>
      <c r="F93" s="367" t="s">
        <v>125</v>
      </c>
    </row>
    <row r="94" spans="1:6">
      <c r="A94" s="789"/>
      <c r="B94" s="789"/>
      <c r="C94" s="497">
        <f>SUM(C92:C93)</f>
        <v>250</v>
      </c>
      <c r="D94" s="799"/>
      <c r="E94" s="799"/>
      <c r="F94" s="799"/>
    </row>
    <row r="95" spans="1:6">
      <c r="A95" s="796" t="s">
        <v>126</v>
      </c>
      <c r="B95" s="796"/>
      <c r="C95" s="796"/>
      <c r="D95" s="796"/>
      <c r="E95" s="796"/>
      <c r="F95" s="796"/>
    </row>
    <row r="96" spans="1:6">
      <c r="A96" s="569">
        <v>1</v>
      </c>
      <c r="B96" s="572" t="s">
        <v>987</v>
      </c>
      <c r="C96" s="497">
        <v>375</v>
      </c>
      <c r="D96" s="571" t="s">
        <v>15</v>
      </c>
      <c r="E96" s="569" t="s">
        <v>42</v>
      </c>
      <c r="F96" s="567" t="s">
        <v>128</v>
      </c>
    </row>
    <row r="97" spans="1:6">
      <c r="A97" s="569">
        <v>2</v>
      </c>
      <c r="B97" s="572" t="s">
        <v>987</v>
      </c>
      <c r="C97" s="497">
        <v>500</v>
      </c>
      <c r="D97" s="571" t="s">
        <v>15</v>
      </c>
      <c r="E97" s="569" t="s">
        <v>42</v>
      </c>
      <c r="F97" s="567" t="s">
        <v>129</v>
      </c>
    </row>
    <row r="98" spans="1:6">
      <c r="A98" s="569"/>
      <c r="B98" s="572"/>
      <c r="C98" s="497">
        <f>SUM(C96:C97)</f>
        <v>875</v>
      </c>
      <c r="D98" s="571"/>
      <c r="E98" s="569"/>
      <c r="F98" s="567"/>
    </row>
    <row r="99" spans="1:6">
      <c r="A99" s="796" t="s">
        <v>131</v>
      </c>
      <c r="B99" s="796"/>
      <c r="C99" s="796"/>
      <c r="D99" s="796"/>
      <c r="E99" s="796"/>
      <c r="F99" s="796"/>
    </row>
    <row r="100" spans="1:6">
      <c r="A100" s="569">
        <v>1</v>
      </c>
      <c r="B100" s="572" t="s">
        <v>988</v>
      </c>
      <c r="C100" s="497">
        <v>300</v>
      </c>
      <c r="D100" s="571" t="s">
        <v>15</v>
      </c>
      <c r="E100" s="569" t="s">
        <v>42</v>
      </c>
      <c r="F100" s="567" t="s">
        <v>133</v>
      </c>
    </row>
    <row r="101" spans="1:6">
      <c r="A101" s="569">
        <v>2</v>
      </c>
      <c r="B101" s="572" t="s">
        <v>988</v>
      </c>
      <c r="C101" s="497">
        <v>200</v>
      </c>
      <c r="D101" s="571" t="s">
        <v>15</v>
      </c>
      <c r="E101" s="569" t="s">
        <v>42</v>
      </c>
      <c r="F101" s="567" t="s">
        <v>134</v>
      </c>
    </row>
    <row r="102" spans="1:6">
      <c r="A102" s="789"/>
      <c r="B102" s="789"/>
      <c r="C102" s="497">
        <f>SUM(C100:C101)</f>
        <v>500</v>
      </c>
      <c r="D102" s="797"/>
      <c r="E102" s="797"/>
      <c r="F102" s="797"/>
    </row>
    <row r="103" spans="1:6">
      <c r="A103" s="796" t="s">
        <v>135</v>
      </c>
      <c r="B103" s="796"/>
      <c r="C103" s="796"/>
      <c r="D103" s="796"/>
      <c r="E103" s="796"/>
      <c r="F103" s="796"/>
    </row>
    <row r="104" spans="1:6">
      <c r="A104" s="569">
        <v>1</v>
      </c>
      <c r="B104" s="516" t="s">
        <v>989</v>
      </c>
      <c r="C104" s="497">
        <v>200</v>
      </c>
      <c r="D104" s="571" t="s">
        <v>15</v>
      </c>
      <c r="E104" s="569" t="s">
        <v>42</v>
      </c>
      <c r="F104" s="572" t="s">
        <v>137</v>
      </c>
    </row>
    <row r="105" spans="1:6">
      <c r="A105" s="789"/>
      <c r="B105" s="789"/>
      <c r="C105" s="497">
        <f>C104</f>
        <v>200</v>
      </c>
      <c r="D105" s="797"/>
      <c r="E105" s="797"/>
      <c r="F105" s="797"/>
    </row>
    <row r="106" spans="1:6" s="515" customFormat="1" ht="15.75">
      <c r="A106" s="795" t="s">
        <v>663</v>
      </c>
      <c r="B106" s="795"/>
      <c r="C106" s="518">
        <f>C90+C94+C98+C102+C105</f>
        <v>2525</v>
      </c>
      <c r="D106" s="514"/>
      <c r="E106" s="568"/>
      <c r="F106" s="568"/>
    </row>
    <row r="107" spans="1:6" ht="15.75">
      <c r="A107" s="712" t="s">
        <v>664</v>
      </c>
      <c r="B107" s="713"/>
      <c r="C107" s="713"/>
      <c r="D107" s="713"/>
      <c r="E107" s="713"/>
      <c r="F107" s="714"/>
    </row>
    <row r="108" spans="1:6">
      <c r="A108" s="790" t="s">
        <v>681</v>
      </c>
      <c r="B108" s="791"/>
      <c r="C108" s="791"/>
      <c r="D108" s="791"/>
      <c r="E108" s="791"/>
      <c r="F108" s="792"/>
    </row>
    <row r="109" spans="1:6">
      <c r="A109" s="569">
        <v>1</v>
      </c>
      <c r="B109" s="572" t="s">
        <v>889</v>
      </c>
      <c r="C109" s="502" t="s">
        <v>990</v>
      </c>
      <c r="D109" s="571" t="s">
        <v>15</v>
      </c>
      <c r="E109" s="501" t="s">
        <v>42</v>
      </c>
      <c r="F109" s="367" t="s">
        <v>220</v>
      </c>
    </row>
    <row r="110" spans="1:6" ht="15" customHeight="1">
      <c r="A110" s="569">
        <v>2</v>
      </c>
      <c r="B110" s="572" t="s">
        <v>890</v>
      </c>
      <c r="C110" s="569">
        <v>147.6</v>
      </c>
      <c r="D110" s="571" t="s">
        <v>15</v>
      </c>
      <c r="E110" s="569" t="s">
        <v>88</v>
      </c>
      <c r="F110" s="572" t="s">
        <v>224</v>
      </c>
    </row>
    <row r="111" spans="1:6" ht="14.25" customHeight="1">
      <c r="A111" s="569">
        <v>3</v>
      </c>
      <c r="B111" s="572" t="s">
        <v>891</v>
      </c>
      <c r="C111" s="569">
        <v>120</v>
      </c>
      <c r="D111" s="571" t="s">
        <v>15</v>
      </c>
      <c r="E111" s="569" t="s">
        <v>88</v>
      </c>
      <c r="F111" s="572" t="s">
        <v>270</v>
      </c>
    </row>
    <row r="112" spans="1:6">
      <c r="A112" s="569">
        <v>4</v>
      </c>
      <c r="B112" s="572" t="s">
        <v>892</v>
      </c>
      <c r="C112" s="569">
        <v>192</v>
      </c>
      <c r="D112" s="571" t="s">
        <v>15</v>
      </c>
      <c r="E112" s="569" t="s">
        <v>42</v>
      </c>
      <c r="F112" s="572" t="s">
        <v>272</v>
      </c>
    </row>
    <row r="113" spans="1:6">
      <c r="A113" s="569">
        <v>5</v>
      </c>
      <c r="B113" s="572" t="s">
        <v>893</v>
      </c>
      <c r="C113" s="569">
        <v>50</v>
      </c>
      <c r="D113" s="571" t="s">
        <v>15</v>
      </c>
      <c r="E113" s="364" t="s">
        <v>18</v>
      </c>
      <c r="F113" s="572" t="s">
        <v>293</v>
      </c>
    </row>
    <row r="114" spans="1:6">
      <c r="A114" s="789"/>
      <c r="B114" s="789"/>
      <c r="C114" s="570">
        <f>SUM(C110:C113)</f>
        <v>509.6</v>
      </c>
      <c r="D114" s="501"/>
      <c r="E114" s="501"/>
      <c r="F114" s="501"/>
    </row>
    <row r="115" spans="1:6">
      <c r="A115" s="790" t="s">
        <v>665</v>
      </c>
      <c r="B115" s="791"/>
      <c r="C115" s="791"/>
      <c r="D115" s="791"/>
      <c r="E115" s="791"/>
      <c r="F115" s="792"/>
    </row>
    <row r="116" spans="1:6" ht="16.5" customHeight="1">
      <c r="A116" s="793">
        <v>2</v>
      </c>
      <c r="B116" s="569" t="s">
        <v>895</v>
      </c>
      <c r="C116" s="569">
        <v>30</v>
      </c>
      <c r="D116" s="571" t="s">
        <v>15</v>
      </c>
      <c r="E116" s="569" t="s">
        <v>88</v>
      </c>
      <c r="F116" s="572" t="s">
        <v>317</v>
      </c>
    </row>
    <row r="117" spans="1:6" ht="15" customHeight="1">
      <c r="A117" s="793"/>
      <c r="B117" s="569" t="s">
        <v>896</v>
      </c>
      <c r="C117" s="569">
        <v>55.8</v>
      </c>
      <c r="D117" s="571" t="s">
        <v>15</v>
      </c>
      <c r="E117" s="569" t="s">
        <v>88</v>
      </c>
      <c r="F117" s="572" t="s">
        <v>320</v>
      </c>
    </row>
    <row r="118" spans="1:6">
      <c r="A118" s="789"/>
      <c r="B118" s="789"/>
      <c r="C118" s="570">
        <f>SUM(C116:C117)</f>
        <v>85.8</v>
      </c>
      <c r="D118" s="501"/>
      <c r="E118" s="501"/>
      <c r="F118" s="501" t="s">
        <v>888</v>
      </c>
    </row>
    <row r="119" spans="1:6">
      <c r="A119" s="790" t="s">
        <v>667</v>
      </c>
      <c r="B119" s="791"/>
      <c r="C119" s="791"/>
      <c r="D119" s="791"/>
      <c r="E119" s="791"/>
      <c r="F119" s="792"/>
    </row>
    <row r="120" spans="1:6" ht="16.5" customHeight="1">
      <c r="A120" s="793">
        <v>1</v>
      </c>
      <c r="B120" s="793" t="s">
        <v>668</v>
      </c>
      <c r="C120" s="569">
        <v>60</v>
      </c>
      <c r="D120" s="571" t="s">
        <v>27</v>
      </c>
      <c r="E120" s="569" t="s">
        <v>88</v>
      </c>
      <c r="F120" s="572" t="s">
        <v>325</v>
      </c>
    </row>
    <row r="121" spans="1:6">
      <c r="A121" s="793"/>
      <c r="B121" s="793"/>
      <c r="C121" s="569">
        <v>139.19999999999999</v>
      </c>
      <c r="D121" s="571" t="s">
        <v>15</v>
      </c>
      <c r="E121" s="569" t="s">
        <v>42</v>
      </c>
      <c r="F121" s="572" t="s">
        <v>328</v>
      </c>
    </row>
    <row r="122" spans="1:6" ht="15" customHeight="1">
      <c r="A122" s="793"/>
      <c r="B122" s="793"/>
      <c r="C122" s="569">
        <v>96</v>
      </c>
      <c r="D122" s="571" t="s">
        <v>27</v>
      </c>
      <c r="E122" s="569" t="s">
        <v>88</v>
      </c>
      <c r="F122" s="572" t="s">
        <v>897</v>
      </c>
    </row>
    <row r="123" spans="1:6" ht="15" customHeight="1">
      <c r="A123" s="793"/>
      <c r="B123" s="793"/>
      <c r="C123" s="569">
        <v>120</v>
      </c>
      <c r="D123" s="571" t="s">
        <v>27</v>
      </c>
      <c r="E123" s="569" t="s">
        <v>88</v>
      </c>
      <c r="F123" s="572" t="s">
        <v>335</v>
      </c>
    </row>
    <row r="124" spans="1:6">
      <c r="A124" s="793">
        <v>2</v>
      </c>
      <c r="B124" s="793" t="s">
        <v>898</v>
      </c>
      <c r="C124" s="569">
        <v>433</v>
      </c>
      <c r="D124" s="571" t="s">
        <v>15</v>
      </c>
      <c r="E124" s="569" t="s">
        <v>42</v>
      </c>
      <c r="F124" s="572" t="s">
        <v>354</v>
      </c>
    </row>
    <row r="125" spans="1:6">
      <c r="A125" s="793"/>
      <c r="B125" s="793"/>
      <c r="C125" s="502" t="s">
        <v>991</v>
      </c>
      <c r="D125" s="501">
        <v>41334</v>
      </c>
      <c r="E125" s="501" t="s">
        <v>42</v>
      </c>
      <c r="F125" s="503" t="s">
        <v>352</v>
      </c>
    </row>
    <row r="126" spans="1:6">
      <c r="A126" s="569">
        <v>3</v>
      </c>
      <c r="B126" s="569" t="s">
        <v>899</v>
      </c>
      <c r="C126" s="569">
        <v>202</v>
      </c>
      <c r="D126" s="571" t="s">
        <v>15</v>
      </c>
      <c r="E126" s="569" t="s">
        <v>42</v>
      </c>
      <c r="F126" s="572" t="s">
        <v>348</v>
      </c>
    </row>
    <row r="127" spans="1:6">
      <c r="A127" s="789"/>
      <c r="B127" s="789"/>
      <c r="C127" s="504">
        <f>SUM(C120:C126)</f>
        <v>1050.2</v>
      </c>
      <c r="D127" s="504"/>
      <c r="E127" s="504"/>
      <c r="F127" s="504"/>
    </row>
    <row r="128" spans="1:6">
      <c r="A128" s="790" t="s">
        <v>670</v>
      </c>
      <c r="B128" s="791"/>
      <c r="C128" s="791"/>
      <c r="D128" s="791"/>
      <c r="E128" s="791"/>
      <c r="F128" s="792"/>
    </row>
    <row r="129" spans="1:6">
      <c r="A129" s="569">
        <v>1</v>
      </c>
      <c r="B129" s="569" t="s">
        <v>671</v>
      </c>
      <c r="C129" s="569">
        <v>100</v>
      </c>
      <c r="D129" s="571" t="s">
        <v>15</v>
      </c>
      <c r="E129" s="569" t="s">
        <v>42</v>
      </c>
      <c r="F129" s="572" t="s">
        <v>359</v>
      </c>
    </row>
    <row r="130" spans="1:6">
      <c r="A130" s="790" t="s">
        <v>672</v>
      </c>
      <c r="B130" s="791"/>
      <c r="C130" s="791"/>
      <c r="D130" s="791"/>
      <c r="E130" s="791"/>
      <c r="F130" s="792"/>
    </row>
    <row r="131" spans="1:6">
      <c r="A131" s="569">
        <v>1</v>
      </c>
      <c r="B131" s="569" t="s">
        <v>673</v>
      </c>
      <c r="C131" s="569">
        <v>30</v>
      </c>
      <c r="D131" s="571" t="s">
        <v>15</v>
      </c>
      <c r="E131" s="364" t="s">
        <v>18</v>
      </c>
      <c r="F131" s="572" t="s">
        <v>900</v>
      </c>
    </row>
    <row r="132" spans="1:6" s="557" customFormat="1">
      <c r="A132" s="794" t="s">
        <v>674</v>
      </c>
      <c r="B132" s="794"/>
      <c r="C132" s="794"/>
      <c r="D132" s="794"/>
      <c r="E132" s="794"/>
      <c r="F132" s="794"/>
    </row>
    <row r="133" spans="1:6">
      <c r="A133" s="569">
        <v>1</v>
      </c>
      <c r="B133" s="569" t="s">
        <v>901</v>
      </c>
      <c r="C133" s="569">
        <v>15</v>
      </c>
      <c r="D133" s="569">
        <v>3</v>
      </c>
      <c r="E133" s="364" t="s">
        <v>18</v>
      </c>
      <c r="F133" s="572" t="s">
        <v>361</v>
      </c>
    </row>
    <row r="134" spans="1:6" s="515" customFormat="1" ht="15.75">
      <c r="A134" s="795" t="s">
        <v>992</v>
      </c>
      <c r="B134" s="795"/>
      <c r="C134" s="558">
        <f>C114+C118+C127+C129+C131</f>
        <v>1775.6</v>
      </c>
      <c r="D134" s="558"/>
      <c r="E134" s="558"/>
      <c r="F134" s="558"/>
    </row>
    <row r="135" spans="1:6" ht="15.75">
      <c r="A135" s="712" t="s">
        <v>676</v>
      </c>
      <c r="B135" s="713"/>
      <c r="C135" s="713"/>
      <c r="D135" s="713"/>
      <c r="E135" s="713"/>
      <c r="F135" s="714"/>
    </row>
    <row r="136" spans="1:6">
      <c r="A136" s="776" t="s">
        <v>363</v>
      </c>
      <c r="B136" s="777"/>
      <c r="C136" s="777"/>
      <c r="D136" s="777"/>
      <c r="E136" s="777"/>
      <c r="F136" s="778"/>
    </row>
    <row r="137" spans="1:6">
      <c r="A137" s="566">
        <v>1</v>
      </c>
      <c r="B137" s="567" t="s">
        <v>902</v>
      </c>
      <c r="C137" s="569">
        <v>375</v>
      </c>
      <c r="D137" s="571" t="s">
        <v>903</v>
      </c>
      <c r="E137" s="364" t="s">
        <v>18</v>
      </c>
      <c r="F137" s="567" t="s">
        <v>365</v>
      </c>
    </row>
    <row r="138" spans="1:6">
      <c r="A138" s="782" t="s">
        <v>369</v>
      </c>
      <c r="B138" s="783"/>
      <c r="C138" s="783"/>
      <c r="D138" s="783"/>
      <c r="E138" s="783"/>
      <c r="F138" s="784"/>
    </row>
    <row r="139" spans="1:6">
      <c r="A139" s="555">
        <v>1</v>
      </c>
      <c r="B139" s="554" t="s">
        <v>370</v>
      </c>
      <c r="C139" s="569">
        <v>10</v>
      </c>
      <c r="D139" s="571" t="s">
        <v>15</v>
      </c>
      <c r="E139" s="364" t="s">
        <v>42</v>
      </c>
      <c r="F139" s="567" t="s">
        <v>371</v>
      </c>
    </row>
    <row r="140" spans="1:6">
      <c r="A140" s="555">
        <v>2</v>
      </c>
      <c r="B140" s="554" t="s">
        <v>370</v>
      </c>
      <c r="C140" s="364">
        <v>10</v>
      </c>
      <c r="D140" s="571" t="s">
        <v>15</v>
      </c>
      <c r="E140" s="364" t="s">
        <v>42</v>
      </c>
      <c r="F140" s="567" t="s">
        <v>377</v>
      </c>
    </row>
    <row r="141" spans="1:6">
      <c r="A141" s="566">
        <v>3</v>
      </c>
      <c r="B141" s="494" t="s">
        <v>904</v>
      </c>
      <c r="C141" s="498"/>
      <c r="D141" s="571"/>
      <c r="E141" s="364"/>
      <c r="F141" s="572" t="s">
        <v>380</v>
      </c>
    </row>
    <row r="142" spans="1:6">
      <c r="A142" s="779" t="s">
        <v>385</v>
      </c>
      <c r="B142" s="780"/>
      <c r="C142" s="780"/>
      <c r="D142" s="780"/>
      <c r="E142" s="780"/>
      <c r="F142" s="781"/>
    </row>
    <row r="143" spans="1:6" ht="16.5" customHeight="1">
      <c r="A143" s="566">
        <v>1</v>
      </c>
      <c r="B143" s="567" t="s">
        <v>905</v>
      </c>
      <c r="C143" s="569">
        <v>460</v>
      </c>
      <c r="D143" s="571" t="s">
        <v>15</v>
      </c>
      <c r="E143" s="364" t="s">
        <v>88</v>
      </c>
      <c r="F143" s="567" t="s">
        <v>391</v>
      </c>
    </row>
    <row r="144" spans="1:6" ht="15" customHeight="1">
      <c r="A144" s="569">
        <v>2</v>
      </c>
      <c r="B144" s="573" t="s">
        <v>905</v>
      </c>
      <c r="C144" s="364">
        <v>460</v>
      </c>
      <c r="D144" s="571" t="s">
        <v>15</v>
      </c>
      <c r="E144" s="364" t="s">
        <v>88</v>
      </c>
      <c r="F144" s="567" t="s">
        <v>906</v>
      </c>
    </row>
    <row r="145" spans="1:6">
      <c r="A145" s="779" t="s">
        <v>400</v>
      </c>
      <c r="B145" s="780"/>
      <c r="C145" s="780"/>
      <c r="D145" s="780"/>
      <c r="E145" s="780"/>
      <c r="F145" s="781"/>
    </row>
    <row r="146" spans="1:6">
      <c r="A146" s="785">
        <v>1</v>
      </c>
      <c r="B146" s="786" t="s">
        <v>401</v>
      </c>
      <c r="C146" s="364">
        <v>132.80000000000001</v>
      </c>
      <c r="D146" s="571" t="s">
        <v>210</v>
      </c>
      <c r="E146" s="364" t="s">
        <v>42</v>
      </c>
      <c r="F146" s="787" t="s">
        <v>402</v>
      </c>
    </row>
    <row r="147" spans="1:6" ht="14.25" customHeight="1">
      <c r="A147" s="785"/>
      <c r="B147" s="786"/>
      <c r="C147" s="569">
        <v>484.3</v>
      </c>
      <c r="D147" s="571" t="s">
        <v>15</v>
      </c>
      <c r="E147" s="364" t="s">
        <v>88</v>
      </c>
      <c r="F147" s="788"/>
    </row>
    <row r="148" spans="1:6">
      <c r="A148" s="776" t="s">
        <v>404</v>
      </c>
      <c r="B148" s="777"/>
      <c r="C148" s="777"/>
      <c r="D148" s="777"/>
      <c r="E148" s="777"/>
      <c r="F148" s="778"/>
    </row>
    <row r="149" spans="1:6">
      <c r="A149" s="566">
        <v>1</v>
      </c>
      <c r="B149" s="567" t="s">
        <v>907</v>
      </c>
      <c r="C149" s="569">
        <v>297</v>
      </c>
      <c r="D149" s="571" t="s">
        <v>15</v>
      </c>
      <c r="E149" s="364" t="s">
        <v>18</v>
      </c>
      <c r="F149" s="567" t="s">
        <v>908</v>
      </c>
    </row>
    <row r="150" spans="1:6">
      <c r="A150" s="569">
        <v>2</v>
      </c>
      <c r="B150" s="567" t="s">
        <v>907</v>
      </c>
      <c r="C150" s="364">
        <v>297</v>
      </c>
      <c r="D150" s="571" t="s">
        <v>15</v>
      </c>
      <c r="E150" s="364" t="s">
        <v>18</v>
      </c>
      <c r="F150" s="567" t="s">
        <v>410</v>
      </c>
    </row>
    <row r="151" spans="1:6">
      <c r="A151" s="776" t="s">
        <v>412</v>
      </c>
      <c r="B151" s="777"/>
      <c r="C151" s="777"/>
      <c r="D151" s="777"/>
      <c r="E151" s="777"/>
      <c r="F151" s="778"/>
    </row>
    <row r="152" spans="1:6">
      <c r="A152" s="566">
        <v>1</v>
      </c>
      <c r="B152" s="567" t="s">
        <v>909</v>
      </c>
      <c r="C152" s="569">
        <v>300</v>
      </c>
      <c r="D152" s="571" t="s">
        <v>15</v>
      </c>
      <c r="E152" s="364" t="s">
        <v>18</v>
      </c>
      <c r="F152" s="567" t="s">
        <v>414</v>
      </c>
    </row>
    <row r="153" spans="1:6">
      <c r="A153" s="569">
        <v>2</v>
      </c>
      <c r="B153" s="573" t="s">
        <v>909</v>
      </c>
      <c r="C153" s="364">
        <v>300</v>
      </c>
      <c r="D153" s="571" t="s">
        <v>15</v>
      </c>
      <c r="E153" s="364" t="s">
        <v>18</v>
      </c>
      <c r="F153" s="567" t="s">
        <v>421</v>
      </c>
    </row>
    <row r="154" spans="1:6">
      <c r="A154" s="566">
        <v>3</v>
      </c>
      <c r="B154" s="567" t="s">
        <v>909</v>
      </c>
      <c r="C154" s="569">
        <v>150</v>
      </c>
      <c r="D154" s="571" t="s">
        <v>15</v>
      </c>
      <c r="E154" s="364" t="s">
        <v>18</v>
      </c>
      <c r="F154" s="572" t="s">
        <v>424</v>
      </c>
    </row>
    <row r="155" spans="1:6">
      <c r="A155" s="566">
        <v>4</v>
      </c>
      <c r="B155" s="494" t="s">
        <v>909</v>
      </c>
      <c r="C155" s="372">
        <v>300</v>
      </c>
      <c r="D155" s="571" t="s">
        <v>15</v>
      </c>
      <c r="E155" s="364" t="s">
        <v>18</v>
      </c>
      <c r="F155" s="572" t="s">
        <v>428</v>
      </c>
    </row>
    <row r="156" spans="1:6">
      <c r="A156" s="566">
        <v>5</v>
      </c>
      <c r="B156" s="494" t="s">
        <v>909</v>
      </c>
      <c r="C156" s="372">
        <v>300</v>
      </c>
      <c r="D156" s="571" t="s">
        <v>15</v>
      </c>
      <c r="E156" s="364" t="s">
        <v>18</v>
      </c>
      <c r="F156" s="572" t="s">
        <v>910</v>
      </c>
    </row>
    <row r="157" spans="1:6">
      <c r="A157" s="566">
        <v>6</v>
      </c>
      <c r="B157" s="494" t="s">
        <v>911</v>
      </c>
      <c r="C157" s="372">
        <v>900</v>
      </c>
      <c r="D157" s="571" t="s">
        <v>15</v>
      </c>
      <c r="E157" s="364" t="s">
        <v>18</v>
      </c>
      <c r="F157" s="572" t="s">
        <v>442</v>
      </c>
    </row>
    <row r="158" spans="1:6" ht="15" customHeight="1">
      <c r="A158" s="566">
        <v>7</v>
      </c>
      <c r="B158" s="494" t="s">
        <v>452</v>
      </c>
      <c r="C158" s="372">
        <v>841</v>
      </c>
      <c r="D158" s="571" t="s">
        <v>15</v>
      </c>
      <c r="E158" s="364" t="s">
        <v>68</v>
      </c>
      <c r="F158" s="572" t="s">
        <v>433</v>
      </c>
    </row>
    <row r="159" spans="1:6" ht="13.5" customHeight="1">
      <c r="A159" s="566">
        <v>8</v>
      </c>
      <c r="B159" s="494" t="s">
        <v>912</v>
      </c>
      <c r="C159" s="372">
        <v>510</v>
      </c>
      <c r="D159" s="571" t="s">
        <v>15</v>
      </c>
      <c r="E159" s="364" t="s">
        <v>68</v>
      </c>
      <c r="F159" s="572" t="s">
        <v>913</v>
      </c>
    </row>
    <row r="160" spans="1:6">
      <c r="A160" s="776" t="s">
        <v>914</v>
      </c>
      <c r="B160" s="777"/>
      <c r="C160" s="777"/>
      <c r="D160" s="777"/>
      <c r="E160" s="777"/>
      <c r="F160" s="778"/>
    </row>
    <row r="161" spans="1:6">
      <c r="A161" s="566">
        <v>1</v>
      </c>
      <c r="B161" s="567" t="s">
        <v>915</v>
      </c>
      <c r="C161" s="569">
        <v>210</v>
      </c>
      <c r="D161" s="571" t="s">
        <v>15</v>
      </c>
      <c r="E161" s="364" t="s">
        <v>18</v>
      </c>
      <c r="F161" s="567" t="s">
        <v>461</v>
      </c>
    </row>
    <row r="162" spans="1:6">
      <c r="A162" s="569">
        <v>2</v>
      </c>
      <c r="B162" s="567" t="s">
        <v>915</v>
      </c>
      <c r="C162" s="569">
        <v>210</v>
      </c>
      <c r="D162" s="571" t="s">
        <v>15</v>
      </c>
      <c r="E162" s="364" t="s">
        <v>18</v>
      </c>
      <c r="F162" s="567" t="s">
        <v>916</v>
      </c>
    </row>
    <row r="163" spans="1:6">
      <c r="A163" s="776" t="s">
        <v>468</v>
      </c>
      <c r="B163" s="777"/>
      <c r="C163" s="777"/>
      <c r="D163" s="777"/>
      <c r="E163" s="777"/>
      <c r="F163" s="778"/>
    </row>
    <row r="164" spans="1:6">
      <c r="A164" s="566">
        <v>1</v>
      </c>
      <c r="B164" s="567" t="s">
        <v>917</v>
      </c>
      <c r="C164" s="569">
        <f>540+48+60+75*1.5+300</f>
        <v>1060.5</v>
      </c>
      <c r="D164" s="571" t="s">
        <v>15</v>
      </c>
      <c r="E164" s="364" t="s">
        <v>18</v>
      </c>
      <c r="F164" s="567" t="s">
        <v>475</v>
      </c>
    </row>
    <row r="165" spans="1:6" ht="15" customHeight="1">
      <c r="A165" s="364">
        <v>2</v>
      </c>
      <c r="B165" s="573" t="s">
        <v>918</v>
      </c>
      <c r="C165" s="364">
        <v>200</v>
      </c>
      <c r="D165" s="499" t="s">
        <v>15</v>
      </c>
      <c r="E165" s="364" t="s">
        <v>68</v>
      </c>
      <c r="F165" s="519" t="s">
        <v>479</v>
      </c>
    </row>
    <row r="166" spans="1:6">
      <c r="A166" s="776" t="s">
        <v>483</v>
      </c>
      <c r="B166" s="777"/>
      <c r="C166" s="777"/>
      <c r="D166" s="777"/>
      <c r="E166" s="777"/>
      <c r="F166" s="778"/>
    </row>
    <row r="167" spans="1:6">
      <c r="A167" s="566">
        <v>1</v>
      </c>
      <c r="B167" s="567" t="s">
        <v>919</v>
      </c>
      <c r="C167" s="569">
        <v>100</v>
      </c>
      <c r="D167" s="571" t="s">
        <v>15</v>
      </c>
      <c r="E167" s="364" t="s">
        <v>18</v>
      </c>
      <c r="F167" s="567" t="s">
        <v>485</v>
      </c>
    </row>
    <row r="168" spans="1:6">
      <c r="A168" s="776" t="s">
        <v>494</v>
      </c>
      <c r="B168" s="777"/>
      <c r="C168" s="777"/>
      <c r="D168" s="777"/>
      <c r="E168" s="777"/>
      <c r="F168" s="778"/>
    </row>
    <row r="169" spans="1:6">
      <c r="A169" s="566">
        <v>1</v>
      </c>
      <c r="B169" s="567" t="s">
        <v>495</v>
      </c>
      <c r="C169" s="569">
        <v>450</v>
      </c>
      <c r="D169" s="571" t="s">
        <v>15</v>
      </c>
      <c r="E169" s="364" t="s">
        <v>18</v>
      </c>
      <c r="F169" s="567" t="s">
        <v>920</v>
      </c>
    </row>
    <row r="170" spans="1:6" ht="12.75" customHeight="1">
      <c r="A170" s="779" t="s">
        <v>497</v>
      </c>
      <c r="B170" s="780"/>
      <c r="C170" s="780"/>
      <c r="D170" s="780"/>
      <c r="E170" s="780"/>
      <c r="F170" s="781"/>
    </row>
    <row r="171" spans="1:6">
      <c r="A171" s="566">
        <v>1</v>
      </c>
      <c r="B171" s="494" t="s">
        <v>921</v>
      </c>
      <c r="C171" s="569">
        <v>100</v>
      </c>
      <c r="D171" s="571" t="s">
        <v>15</v>
      </c>
      <c r="E171" s="364" t="s">
        <v>18</v>
      </c>
      <c r="F171" s="567" t="s">
        <v>499</v>
      </c>
    </row>
    <row r="172" spans="1:6">
      <c r="A172" s="569">
        <v>2</v>
      </c>
      <c r="B172" s="494" t="s">
        <v>921</v>
      </c>
      <c r="C172" s="364">
        <v>100</v>
      </c>
      <c r="D172" s="571" t="s">
        <v>15</v>
      </c>
      <c r="E172" s="364" t="s">
        <v>18</v>
      </c>
      <c r="F172" s="567" t="s">
        <v>501</v>
      </c>
    </row>
    <row r="173" spans="1:6" s="441" customFormat="1" ht="15.75">
      <c r="A173" s="512"/>
      <c r="B173" s="513" t="s">
        <v>663</v>
      </c>
      <c r="C173" s="442">
        <f>C137+C139+C140+C141+C143+C144+C146+C147+C149+C150+C152+C153+C154+C155+C156+C157+C158+C159+C161+C162+C164+C165+C167+C169+C171+C172</f>
        <v>8557.6</v>
      </c>
      <c r="D173" s="514"/>
      <c r="E173" s="440"/>
      <c r="F173" s="568"/>
    </row>
    <row r="174" spans="1:6" ht="15.75">
      <c r="A174" s="712" t="s">
        <v>661</v>
      </c>
      <c r="B174" s="713"/>
      <c r="C174" s="713"/>
      <c r="D174" s="713"/>
      <c r="E174" s="713"/>
      <c r="F174" s="714"/>
    </row>
    <row r="175" spans="1:6">
      <c r="A175" s="776" t="s">
        <v>511</v>
      </c>
      <c r="B175" s="777"/>
      <c r="C175" s="777"/>
      <c r="D175" s="777"/>
      <c r="E175" s="777"/>
      <c r="F175" s="778"/>
    </row>
    <row r="176" spans="1:6">
      <c r="A176" s="566">
        <v>1</v>
      </c>
      <c r="B176" s="567" t="s">
        <v>512</v>
      </c>
      <c r="C176" s="569">
        <v>147</v>
      </c>
      <c r="D176" s="571" t="s">
        <v>15</v>
      </c>
      <c r="E176" s="364" t="s">
        <v>18</v>
      </c>
      <c r="F176" s="567" t="s">
        <v>513</v>
      </c>
    </row>
    <row r="177" spans="1:6">
      <c r="A177" s="569">
        <v>2</v>
      </c>
      <c r="B177" s="573" t="s">
        <v>516</v>
      </c>
      <c r="C177" s="364">
        <v>200</v>
      </c>
      <c r="D177" s="571" t="s">
        <v>15</v>
      </c>
      <c r="E177" s="364" t="s">
        <v>18</v>
      </c>
      <c r="F177" s="567" t="s">
        <v>922</v>
      </c>
    </row>
    <row r="178" spans="1:6">
      <c r="A178" s="782" t="s">
        <v>518</v>
      </c>
      <c r="B178" s="783"/>
      <c r="C178" s="783"/>
      <c r="D178" s="783"/>
      <c r="E178" s="783"/>
      <c r="F178" s="784"/>
    </row>
    <row r="179" spans="1:6">
      <c r="A179" s="566">
        <v>1</v>
      </c>
      <c r="B179" s="567" t="s">
        <v>519</v>
      </c>
      <c r="C179" s="569">
        <v>720.7</v>
      </c>
      <c r="D179" s="571" t="s">
        <v>15</v>
      </c>
      <c r="E179" s="364" t="s">
        <v>18</v>
      </c>
      <c r="F179" s="493" t="s">
        <v>923</v>
      </c>
    </row>
    <row r="180" spans="1:6">
      <c r="A180" s="776" t="s">
        <v>521</v>
      </c>
      <c r="B180" s="777"/>
      <c r="C180" s="777"/>
      <c r="D180" s="777"/>
      <c r="E180" s="777"/>
      <c r="F180" s="778"/>
    </row>
    <row r="181" spans="1:6">
      <c r="A181" s="566">
        <v>1</v>
      </c>
      <c r="B181" s="567" t="s">
        <v>522</v>
      </c>
      <c r="C181" s="569">
        <v>1340</v>
      </c>
      <c r="D181" s="571" t="s">
        <v>15</v>
      </c>
      <c r="E181" s="364" t="s">
        <v>18</v>
      </c>
      <c r="F181" s="567" t="s">
        <v>924</v>
      </c>
    </row>
    <row r="182" spans="1:6">
      <c r="A182" s="776" t="s">
        <v>953</v>
      </c>
      <c r="B182" s="777"/>
      <c r="C182" s="777"/>
      <c r="D182" s="777"/>
      <c r="E182" s="777"/>
      <c r="F182" s="778"/>
    </row>
    <row r="183" spans="1:6">
      <c r="A183" s="372">
        <v>1</v>
      </c>
      <c r="B183" s="365" t="s">
        <v>528</v>
      </c>
      <c r="C183" s="569">
        <v>1000</v>
      </c>
      <c r="D183" s="571" t="s">
        <v>15</v>
      </c>
      <c r="E183" s="364" t="s">
        <v>18</v>
      </c>
      <c r="F183" s="567" t="s">
        <v>529</v>
      </c>
    </row>
    <row r="184" spans="1:6">
      <c r="A184" s="776" t="s">
        <v>530</v>
      </c>
      <c r="B184" s="777"/>
      <c r="C184" s="777"/>
      <c r="D184" s="777"/>
      <c r="E184" s="777"/>
      <c r="F184" s="778"/>
    </row>
    <row r="185" spans="1:6">
      <c r="A185" s="500">
        <v>1</v>
      </c>
      <c r="B185" s="519" t="s">
        <v>925</v>
      </c>
      <c r="C185" s="364">
        <v>1200</v>
      </c>
      <c r="D185" s="499" t="s">
        <v>15</v>
      </c>
      <c r="E185" s="364" t="s">
        <v>18</v>
      </c>
      <c r="F185" s="519" t="s">
        <v>926</v>
      </c>
    </row>
    <row r="186" spans="1:6">
      <c r="A186" s="776" t="s">
        <v>540</v>
      </c>
      <c r="B186" s="777"/>
      <c r="C186" s="777"/>
      <c r="D186" s="777"/>
      <c r="E186" s="777"/>
      <c r="F186" s="778"/>
    </row>
    <row r="187" spans="1:6">
      <c r="A187" s="566">
        <v>1</v>
      </c>
      <c r="B187" s="567" t="s">
        <v>541</v>
      </c>
      <c r="C187" s="569">
        <f>2688-1570+2858-618.8</f>
        <v>3357.2</v>
      </c>
      <c r="D187" s="571" t="s">
        <v>15</v>
      </c>
      <c r="E187" s="364" t="s">
        <v>18</v>
      </c>
      <c r="F187" s="567" t="s">
        <v>927</v>
      </c>
    </row>
    <row r="188" spans="1:6" s="559" customFormat="1" ht="15.75">
      <c r="A188" s="442"/>
      <c r="B188" s="513" t="s">
        <v>993</v>
      </c>
      <c r="C188" s="442">
        <f>C176+C177+C179+C181+C183+C185+C187</f>
        <v>7964.9</v>
      </c>
      <c r="D188" s="443"/>
      <c r="E188" s="443"/>
      <c r="F188" s="513"/>
    </row>
    <row r="189" spans="1:6" s="559" customFormat="1" ht="15.75">
      <c r="A189" s="442"/>
      <c r="B189" s="513"/>
      <c r="C189" s="442"/>
      <c r="D189" s="443"/>
      <c r="E189" s="443"/>
      <c r="F189" s="513"/>
    </row>
    <row r="190" spans="1:6" s="559" customFormat="1" ht="15.75">
      <c r="A190" s="574"/>
      <c r="B190" s="560" t="s">
        <v>659</v>
      </c>
      <c r="C190" s="561">
        <f>C49+C84+C106+C134+C173+C188</f>
        <v>42399</v>
      </c>
      <c r="D190" s="104"/>
      <c r="E190" s="104"/>
      <c r="F190" s="560"/>
    </row>
  </sheetData>
  <mergeCells count="97">
    <mergeCell ref="A17:A18"/>
    <mergeCell ref="B17:B18"/>
    <mergeCell ref="C17:C18"/>
    <mergeCell ref="A3:F3"/>
    <mergeCell ref="A6:F6"/>
    <mergeCell ref="A7:F7"/>
    <mergeCell ref="A14:F14"/>
    <mergeCell ref="A16:F16"/>
    <mergeCell ref="A51:F51"/>
    <mergeCell ref="A19:F19"/>
    <mergeCell ref="A21:F21"/>
    <mergeCell ref="A23:F23"/>
    <mergeCell ref="F24:F25"/>
    <mergeCell ref="A27:F27"/>
    <mergeCell ref="A30:F30"/>
    <mergeCell ref="A32:F32"/>
    <mergeCell ref="A34:F34"/>
    <mergeCell ref="A45:F45"/>
    <mergeCell ref="A47:F47"/>
    <mergeCell ref="A50:F50"/>
    <mergeCell ref="A52:A53"/>
    <mergeCell ref="B52:B53"/>
    <mergeCell ref="F52:F53"/>
    <mergeCell ref="A55:A56"/>
    <mergeCell ref="B55:B56"/>
    <mergeCell ref="F55:F56"/>
    <mergeCell ref="A58:A59"/>
    <mergeCell ref="B58:B59"/>
    <mergeCell ref="F58:F59"/>
    <mergeCell ref="F61:F62"/>
    <mergeCell ref="A65:A66"/>
    <mergeCell ref="B65:B66"/>
    <mergeCell ref="F65:F66"/>
    <mergeCell ref="A85:F85"/>
    <mergeCell ref="A68:F68"/>
    <mergeCell ref="A69:A70"/>
    <mergeCell ref="B69:B70"/>
    <mergeCell ref="F69:F70"/>
    <mergeCell ref="A71:A72"/>
    <mergeCell ref="F71:F72"/>
    <mergeCell ref="A73:A74"/>
    <mergeCell ref="F73:F74"/>
    <mergeCell ref="F76:F78"/>
    <mergeCell ref="A80:F80"/>
    <mergeCell ref="A82:F82"/>
    <mergeCell ref="A86:F86"/>
    <mergeCell ref="A90:B90"/>
    <mergeCell ref="D90:F90"/>
    <mergeCell ref="A91:F91"/>
    <mergeCell ref="A94:B94"/>
    <mergeCell ref="D94:F94"/>
    <mergeCell ref="A116:A117"/>
    <mergeCell ref="A95:F95"/>
    <mergeCell ref="A99:F99"/>
    <mergeCell ref="A102:B102"/>
    <mergeCell ref="D102:F102"/>
    <mergeCell ref="A103:F103"/>
    <mergeCell ref="A105:B105"/>
    <mergeCell ref="D105:F105"/>
    <mergeCell ref="A106:B106"/>
    <mergeCell ref="A107:F107"/>
    <mergeCell ref="A108:F108"/>
    <mergeCell ref="A114:B114"/>
    <mergeCell ref="A115:F115"/>
    <mergeCell ref="A135:F135"/>
    <mergeCell ref="A118:B118"/>
    <mergeCell ref="A119:F119"/>
    <mergeCell ref="A120:A123"/>
    <mergeCell ref="B120:B123"/>
    <mergeCell ref="A124:A125"/>
    <mergeCell ref="B124:B125"/>
    <mergeCell ref="A127:B127"/>
    <mergeCell ref="A128:F128"/>
    <mergeCell ref="A130:F130"/>
    <mergeCell ref="A132:F132"/>
    <mergeCell ref="A134:B134"/>
    <mergeCell ref="A168:F168"/>
    <mergeCell ref="A136:F136"/>
    <mergeCell ref="A138:F138"/>
    <mergeCell ref="A142:F142"/>
    <mergeCell ref="A145:F145"/>
    <mergeCell ref="A146:A147"/>
    <mergeCell ref="B146:B147"/>
    <mergeCell ref="F146:F147"/>
    <mergeCell ref="A148:F148"/>
    <mergeCell ref="A151:F151"/>
    <mergeCell ref="A160:F160"/>
    <mergeCell ref="A163:F163"/>
    <mergeCell ref="A166:F166"/>
    <mergeCell ref="A184:F184"/>
    <mergeCell ref="A186:F186"/>
    <mergeCell ref="A170:F170"/>
    <mergeCell ref="A174:F174"/>
    <mergeCell ref="A175:F175"/>
    <mergeCell ref="A178:F178"/>
    <mergeCell ref="A180:F180"/>
    <mergeCell ref="A182:F18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8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B12"/>
  <sheetViews>
    <sheetView tabSelected="1" workbookViewId="0">
      <selection activeCell="A7" sqref="A7:B7"/>
    </sheetView>
  </sheetViews>
  <sheetFormatPr defaultRowHeight="12.75"/>
  <cols>
    <col min="1" max="1" width="9.140625" style="323"/>
    <col min="2" max="2" width="82.140625" style="323" customWidth="1"/>
    <col min="3" max="257" width="9.140625" style="323"/>
    <col min="258" max="258" width="82.140625" style="323" customWidth="1"/>
    <col min="259" max="513" width="9.140625" style="323"/>
    <col min="514" max="514" width="82.140625" style="323" customWidth="1"/>
    <col min="515" max="769" width="9.140625" style="323"/>
    <col min="770" max="770" width="82.140625" style="323" customWidth="1"/>
    <col min="771" max="1025" width="9.140625" style="323"/>
    <col min="1026" max="1026" width="82.140625" style="323" customWidth="1"/>
    <col min="1027" max="1281" width="9.140625" style="323"/>
    <col min="1282" max="1282" width="82.140625" style="323" customWidth="1"/>
    <col min="1283" max="1537" width="9.140625" style="323"/>
    <col min="1538" max="1538" width="82.140625" style="323" customWidth="1"/>
    <col min="1539" max="1793" width="9.140625" style="323"/>
    <col min="1794" max="1794" width="82.140625" style="323" customWidth="1"/>
    <col min="1795" max="2049" width="9.140625" style="323"/>
    <col min="2050" max="2050" width="82.140625" style="323" customWidth="1"/>
    <col min="2051" max="2305" width="9.140625" style="323"/>
    <col min="2306" max="2306" width="82.140625" style="323" customWidth="1"/>
    <col min="2307" max="2561" width="9.140625" style="323"/>
    <col min="2562" max="2562" width="82.140625" style="323" customWidth="1"/>
    <col min="2563" max="2817" width="9.140625" style="323"/>
    <col min="2818" max="2818" width="82.140625" style="323" customWidth="1"/>
    <col min="2819" max="3073" width="9.140625" style="323"/>
    <col min="3074" max="3074" width="82.140625" style="323" customWidth="1"/>
    <col min="3075" max="3329" width="9.140625" style="323"/>
    <col min="3330" max="3330" width="82.140625" style="323" customWidth="1"/>
    <col min="3331" max="3585" width="9.140625" style="323"/>
    <col min="3586" max="3586" width="82.140625" style="323" customWidth="1"/>
    <col min="3587" max="3841" width="9.140625" style="323"/>
    <col min="3842" max="3842" width="82.140625" style="323" customWidth="1"/>
    <col min="3843" max="4097" width="9.140625" style="323"/>
    <col min="4098" max="4098" width="82.140625" style="323" customWidth="1"/>
    <col min="4099" max="4353" width="9.140625" style="323"/>
    <col min="4354" max="4354" width="82.140625" style="323" customWidth="1"/>
    <col min="4355" max="4609" width="9.140625" style="323"/>
    <col min="4610" max="4610" width="82.140625" style="323" customWidth="1"/>
    <col min="4611" max="4865" width="9.140625" style="323"/>
    <col min="4866" max="4866" width="82.140625" style="323" customWidth="1"/>
    <col min="4867" max="5121" width="9.140625" style="323"/>
    <col min="5122" max="5122" width="82.140625" style="323" customWidth="1"/>
    <col min="5123" max="5377" width="9.140625" style="323"/>
    <col min="5378" max="5378" width="82.140625" style="323" customWidth="1"/>
    <col min="5379" max="5633" width="9.140625" style="323"/>
    <col min="5634" max="5634" width="82.140625" style="323" customWidth="1"/>
    <col min="5635" max="5889" width="9.140625" style="323"/>
    <col min="5890" max="5890" width="82.140625" style="323" customWidth="1"/>
    <col min="5891" max="6145" width="9.140625" style="323"/>
    <col min="6146" max="6146" width="82.140625" style="323" customWidth="1"/>
    <col min="6147" max="6401" width="9.140625" style="323"/>
    <col min="6402" max="6402" width="82.140625" style="323" customWidth="1"/>
    <col min="6403" max="6657" width="9.140625" style="323"/>
    <col min="6658" max="6658" width="82.140625" style="323" customWidth="1"/>
    <col min="6659" max="6913" width="9.140625" style="323"/>
    <col min="6914" max="6914" width="82.140625" style="323" customWidth="1"/>
    <col min="6915" max="7169" width="9.140625" style="323"/>
    <col min="7170" max="7170" width="82.140625" style="323" customWidth="1"/>
    <col min="7171" max="7425" width="9.140625" style="323"/>
    <col min="7426" max="7426" width="82.140625" style="323" customWidth="1"/>
    <col min="7427" max="7681" width="9.140625" style="323"/>
    <col min="7682" max="7682" width="82.140625" style="323" customWidth="1"/>
    <col min="7683" max="7937" width="9.140625" style="323"/>
    <col min="7938" max="7938" width="82.140625" style="323" customWidth="1"/>
    <col min="7939" max="8193" width="9.140625" style="323"/>
    <col min="8194" max="8194" width="82.140625" style="323" customWidth="1"/>
    <col min="8195" max="8449" width="9.140625" style="323"/>
    <col min="8450" max="8450" width="82.140625" style="323" customWidth="1"/>
    <col min="8451" max="8705" width="9.140625" style="323"/>
    <col min="8706" max="8706" width="82.140625" style="323" customWidth="1"/>
    <col min="8707" max="8961" width="9.140625" style="323"/>
    <col min="8962" max="8962" width="82.140625" style="323" customWidth="1"/>
    <col min="8963" max="9217" width="9.140625" style="323"/>
    <col min="9218" max="9218" width="82.140625" style="323" customWidth="1"/>
    <col min="9219" max="9473" width="9.140625" style="323"/>
    <col min="9474" max="9474" width="82.140625" style="323" customWidth="1"/>
    <col min="9475" max="9729" width="9.140625" style="323"/>
    <col min="9730" max="9730" width="82.140625" style="323" customWidth="1"/>
    <col min="9731" max="9985" width="9.140625" style="323"/>
    <col min="9986" max="9986" width="82.140625" style="323" customWidth="1"/>
    <col min="9987" max="10241" width="9.140625" style="323"/>
    <col min="10242" max="10242" width="82.140625" style="323" customWidth="1"/>
    <col min="10243" max="10497" width="9.140625" style="323"/>
    <col min="10498" max="10498" width="82.140625" style="323" customWidth="1"/>
    <col min="10499" max="10753" width="9.140625" style="323"/>
    <col min="10754" max="10754" width="82.140625" style="323" customWidth="1"/>
    <col min="10755" max="11009" width="9.140625" style="323"/>
    <col min="11010" max="11010" width="82.140625" style="323" customWidth="1"/>
    <col min="11011" max="11265" width="9.140625" style="323"/>
    <col min="11266" max="11266" width="82.140625" style="323" customWidth="1"/>
    <col min="11267" max="11521" width="9.140625" style="323"/>
    <col min="11522" max="11522" width="82.140625" style="323" customWidth="1"/>
    <col min="11523" max="11777" width="9.140625" style="323"/>
    <col min="11778" max="11778" width="82.140625" style="323" customWidth="1"/>
    <col min="11779" max="12033" width="9.140625" style="323"/>
    <col min="12034" max="12034" width="82.140625" style="323" customWidth="1"/>
    <col min="12035" max="12289" width="9.140625" style="323"/>
    <col min="12290" max="12290" width="82.140625" style="323" customWidth="1"/>
    <col min="12291" max="12545" width="9.140625" style="323"/>
    <col min="12546" max="12546" width="82.140625" style="323" customWidth="1"/>
    <col min="12547" max="12801" width="9.140625" style="323"/>
    <col min="12802" max="12802" width="82.140625" style="323" customWidth="1"/>
    <col min="12803" max="13057" width="9.140625" style="323"/>
    <col min="13058" max="13058" width="82.140625" style="323" customWidth="1"/>
    <col min="13059" max="13313" width="9.140625" style="323"/>
    <col min="13314" max="13314" width="82.140625" style="323" customWidth="1"/>
    <col min="13315" max="13569" width="9.140625" style="323"/>
    <col min="13570" max="13570" width="82.140625" style="323" customWidth="1"/>
    <col min="13571" max="13825" width="9.140625" style="323"/>
    <col min="13826" max="13826" width="82.140625" style="323" customWidth="1"/>
    <col min="13827" max="14081" width="9.140625" style="323"/>
    <col min="14082" max="14082" width="82.140625" style="323" customWidth="1"/>
    <col min="14083" max="14337" width="9.140625" style="323"/>
    <col min="14338" max="14338" width="82.140625" style="323" customWidth="1"/>
    <col min="14339" max="14593" width="9.140625" style="323"/>
    <col min="14594" max="14594" width="82.140625" style="323" customWidth="1"/>
    <col min="14595" max="14849" width="9.140625" style="323"/>
    <col min="14850" max="14850" width="82.140625" style="323" customWidth="1"/>
    <col min="14851" max="15105" width="9.140625" style="323"/>
    <col min="15106" max="15106" width="82.140625" style="323" customWidth="1"/>
    <col min="15107" max="15361" width="9.140625" style="323"/>
    <col min="15362" max="15362" width="82.140625" style="323" customWidth="1"/>
    <col min="15363" max="15617" width="9.140625" style="323"/>
    <col min="15618" max="15618" width="82.140625" style="323" customWidth="1"/>
    <col min="15619" max="15873" width="9.140625" style="323"/>
    <col min="15874" max="15874" width="82.140625" style="323" customWidth="1"/>
    <col min="15875" max="16129" width="9.140625" style="323"/>
    <col min="16130" max="16130" width="82.140625" style="323" customWidth="1"/>
    <col min="16131" max="16384" width="9.140625" style="323"/>
  </cols>
  <sheetData>
    <row r="1" spans="1:2">
      <c r="A1" s="814" t="s">
        <v>842</v>
      </c>
      <c r="B1" s="814"/>
    </row>
    <row r="2" spans="1:2" ht="15">
      <c r="A2" s="815"/>
      <c r="B2" s="815"/>
    </row>
    <row r="3" spans="1:2" ht="15">
      <c r="A3" s="815"/>
      <c r="B3" s="815"/>
    </row>
    <row r="4" spans="1:2" ht="15">
      <c r="A4" s="815"/>
      <c r="B4" s="815"/>
    </row>
    <row r="5" spans="1:2" ht="15">
      <c r="A5" s="815"/>
      <c r="B5" s="815"/>
    </row>
    <row r="6" spans="1:2" ht="15">
      <c r="A6" s="334"/>
      <c r="B6" s="322"/>
    </row>
    <row r="7" spans="1:2" ht="37.5" customHeight="1">
      <c r="A7" s="813" t="s">
        <v>843</v>
      </c>
      <c r="B7" s="813"/>
    </row>
    <row r="8" spans="1:2" ht="40.5" customHeight="1" thickBot="1">
      <c r="A8" s="335"/>
      <c r="B8" s="335"/>
    </row>
    <row r="9" spans="1:2" ht="30" customHeight="1" thickBot="1">
      <c r="A9" s="336" t="s">
        <v>833</v>
      </c>
      <c r="B9" s="337" t="s">
        <v>834</v>
      </c>
    </row>
    <row r="10" spans="1:2" ht="48" customHeight="1">
      <c r="A10" s="338">
        <v>1</v>
      </c>
      <c r="B10" s="339" t="s">
        <v>844</v>
      </c>
    </row>
    <row r="11" spans="1:2" ht="49.5" customHeight="1">
      <c r="A11" s="340">
        <v>2</v>
      </c>
      <c r="B11" s="341" t="s">
        <v>845</v>
      </c>
    </row>
    <row r="12" spans="1:2" ht="54.75" customHeight="1" thickBot="1">
      <c r="A12" s="342">
        <v>3</v>
      </c>
      <c r="B12" s="343" t="s">
        <v>846</v>
      </c>
    </row>
  </sheetData>
  <mergeCells count="6">
    <mergeCell ref="A7:B7"/>
    <mergeCell ref="A1:B1"/>
    <mergeCell ref="A2:B2"/>
    <mergeCell ref="A3:B3"/>
    <mergeCell ref="A4:B4"/>
    <mergeCell ref="A5:B5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231"/>
  <sheetViews>
    <sheetView workbookViewId="0">
      <selection activeCell="C228" sqref="C228"/>
    </sheetView>
  </sheetViews>
  <sheetFormatPr defaultRowHeight="14.25"/>
  <cols>
    <col min="1" max="1" width="4.85546875" style="350" customWidth="1"/>
    <col min="2" max="2" width="24.42578125" style="351" customWidth="1"/>
    <col min="3" max="3" width="53.7109375" style="351" customWidth="1"/>
    <col min="4" max="16384" width="9.140625" style="626"/>
  </cols>
  <sheetData>
    <row r="1" spans="1:3">
      <c r="C1" s="352" t="s">
        <v>928</v>
      </c>
    </row>
    <row r="4" spans="1:3" ht="68.25" customHeight="1">
      <c r="A4" s="823" t="s">
        <v>929</v>
      </c>
      <c r="B4" s="823"/>
      <c r="C4" s="823"/>
    </row>
    <row r="6" spans="1:3" ht="25.5">
      <c r="A6" s="347" t="s">
        <v>930</v>
      </c>
      <c r="B6" s="347" t="s">
        <v>931</v>
      </c>
      <c r="C6" s="347" t="s">
        <v>932</v>
      </c>
    </row>
    <row r="7" spans="1:3" ht="15.75">
      <c r="A7" s="819" t="s">
        <v>820</v>
      </c>
      <c r="B7" s="819"/>
      <c r="C7" s="819"/>
    </row>
    <row r="8" spans="1:3">
      <c r="A8" s="816" t="s">
        <v>688</v>
      </c>
      <c r="B8" s="817"/>
      <c r="C8" s="818"/>
    </row>
    <row r="9" spans="1:3">
      <c r="A9" s="353">
        <v>1</v>
      </c>
      <c r="B9" s="354" t="s">
        <v>693</v>
      </c>
      <c r="C9" s="355" t="s">
        <v>933</v>
      </c>
    </row>
    <row r="10" spans="1:3">
      <c r="A10" s="353">
        <f>A9+1</f>
        <v>2</v>
      </c>
      <c r="B10" s="354" t="s">
        <v>690</v>
      </c>
      <c r="C10" s="355" t="s">
        <v>933</v>
      </c>
    </row>
    <row r="11" spans="1:3">
      <c r="A11" s="353">
        <f>A10+1</f>
        <v>3</v>
      </c>
      <c r="B11" s="354" t="s">
        <v>698</v>
      </c>
      <c r="C11" s="354" t="s">
        <v>933</v>
      </c>
    </row>
    <row r="12" spans="1:3">
      <c r="A12" s="353">
        <f>A11+1</f>
        <v>4</v>
      </c>
      <c r="B12" s="354" t="s">
        <v>708</v>
      </c>
      <c r="C12" s="355" t="s">
        <v>933</v>
      </c>
    </row>
    <row r="13" spans="1:3">
      <c r="A13" s="353">
        <f>A12+1</f>
        <v>5</v>
      </c>
      <c r="B13" s="354" t="s">
        <v>934</v>
      </c>
      <c r="C13" s="355" t="s">
        <v>933</v>
      </c>
    </row>
    <row r="14" spans="1:3">
      <c r="A14" s="353">
        <f>A13+1</f>
        <v>6</v>
      </c>
      <c r="B14" s="354" t="s">
        <v>705</v>
      </c>
      <c r="C14" s="355" t="s">
        <v>933</v>
      </c>
    </row>
    <row r="15" spans="1:3">
      <c r="A15" s="816" t="s">
        <v>710</v>
      </c>
      <c r="B15" s="817"/>
      <c r="C15" s="818"/>
    </row>
    <row r="16" spans="1:3">
      <c r="A16" s="353">
        <v>7</v>
      </c>
      <c r="B16" s="354" t="s">
        <v>711</v>
      </c>
      <c r="C16" s="355" t="s">
        <v>933</v>
      </c>
    </row>
    <row r="17" spans="1:3">
      <c r="A17" s="816" t="s">
        <v>716</v>
      </c>
      <c r="B17" s="817"/>
      <c r="C17" s="818"/>
    </row>
    <row r="18" spans="1:3">
      <c r="A18" s="353">
        <v>8</v>
      </c>
      <c r="B18" s="354" t="s">
        <v>725</v>
      </c>
      <c r="C18" s="355" t="s">
        <v>933</v>
      </c>
    </row>
    <row r="19" spans="1:3">
      <c r="A19" s="353">
        <v>9</v>
      </c>
      <c r="B19" s="354" t="s">
        <v>718</v>
      </c>
      <c r="C19" s="355" t="s">
        <v>933</v>
      </c>
    </row>
    <row r="20" spans="1:3">
      <c r="A20" s="816" t="s">
        <v>962</v>
      </c>
      <c r="B20" s="817"/>
      <c r="C20" s="818"/>
    </row>
    <row r="21" spans="1:3">
      <c r="A21" s="353">
        <v>10</v>
      </c>
      <c r="B21" s="354" t="s">
        <v>727</v>
      </c>
      <c r="C21" s="355" t="s">
        <v>933</v>
      </c>
    </row>
    <row r="22" spans="1:3">
      <c r="A22" s="816" t="s">
        <v>963</v>
      </c>
      <c r="B22" s="817"/>
      <c r="C22" s="818"/>
    </row>
    <row r="23" spans="1:3">
      <c r="A23" s="353">
        <v>11</v>
      </c>
      <c r="B23" s="354" t="s">
        <v>729</v>
      </c>
      <c r="C23" s="355" t="s">
        <v>933</v>
      </c>
    </row>
    <row r="24" spans="1:3">
      <c r="A24" s="816" t="s">
        <v>741</v>
      </c>
      <c r="B24" s="817"/>
      <c r="C24" s="818"/>
    </row>
    <row r="25" spans="1:3" ht="38.25">
      <c r="A25" s="353">
        <v>12</v>
      </c>
      <c r="B25" s="365" t="s">
        <v>935</v>
      </c>
      <c r="C25" s="355" t="s">
        <v>933</v>
      </c>
    </row>
    <row r="26" spans="1:3">
      <c r="A26" s="353">
        <v>13</v>
      </c>
      <c r="B26" s="354" t="s">
        <v>756</v>
      </c>
      <c r="C26" s="355" t="s">
        <v>933</v>
      </c>
    </row>
    <row r="27" spans="1:3">
      <c r="A27" s="816" t="s">
        <v>864</v>
      </c>
      <c r="B27" s="817"/>
      <c r="C27" s="818"/>
    </row>
    <row r="28" spans="1:3">
      <c r="A28" s="353">
        <v>14</v>
      </c>
      <c r="B28" s="354" t="s">
        <v>865</v>
      </c>
      <c r="C28" s="355" t="s">
        <v>933</v>
      </c>
    </row>
    <row r="29" spans="1:3">
      <c r="A29" s="816" t="s">
        <v>768</v>
      </c>
      <c r="B29" s="817"/>
      <c r="C29" s="818"/>
    </row>
    <row r="30" spans="1:3">
      <c r="A30" s="353">
        <v>15</v>
      </c>
      <c r="B30" s="354" t="s">
        <v>770</v>
      </c>
      <c r="C30" s="355" t="s">
        <v>933</v>
      </c>
    </row>
    <row r="31" spans="1:3">
      <c r="A31" s="816" t="s">
        <v>733</v>
      </c>
      <c r="B31" s="817"/>
      <c r="C31" s="818"/>
    </row>
    <row r="32" spans="1:3">
      <c r="A32" s="353">
        <v>16</v>
      </c>
      <c r="B32" s="354" t="s">
        <v>936</v>
      </c>
      <c r="C32" s="355" t="s">
        <v>933</v>
      </c>
    </row>
    <row r="33" spans="1:3">
      <c r="A33" s="353">
        <v>17</v>
      </c>
      <c r="B33" s="354" t="s">
        <v>1003</v>
      </c>
      <c r="C33" s="355" t="s">
        <v>933</v>
      </c>
    </row>
    <row r="34" spans="1:3">
      <c r="A34" s="816" t="s">
        <v>866</v>
      </c>
      <c r="B34" s="817"/>
      <c r="C34" s="818"/>
    </row>
    <row r="35" spans="1:3">
      <c r="A35" s="353">
        <v>18</v>
      </c>
      <c r="B35" s="354" t="s">
        <v>792</v>
      </c>
      <c r="C35" s="355" t="s">
        <v>933</v>
      </c>
    </row>
    <row r="36" spans="1:3">
      <c r="A36" s="353">
        <v>19</v>
      </c>
      <c r="B36" s="354" t="s">
        <v>937</v>
      </c>
      <c r="C36" s="355" t="s">
        <v>933</v>
      </c>
    </row>
    <row r="37" spans="1:3">
      <c r="A37" s="353">
        <f t="shared" ref="A37:A46" si="0">A36+1</f>
        <v>20</v>
      </c>
      <c r="B37" s="354" t="s">
        <v>779</v>
      </c>
      <c r="C37" s="355" t="s">
        <v>933</v>
      </c>
    </row>
    <row r="38" spans="1:3">
      <c r="A38" s="353">
        <f t="shared" si="0"/>
        <v>21</v>
      </c>
      <c r="B38" s="354" t="s">
        <v>775</v>
      </c>
      <c r="C38" s="355" t="s">
        <v>933</v>
      </c>
    </row>
    <row r="39" spans="1:3">
      <c r="A39" s="353">
        <f t="shared" si="0"/>
        <v>22</v>
      </c>
      <c r="B39" s="354" t="s">
        <v>830</v>
      </c>
      <c r="C39" s="355" t="s">
        <v>933</v>
      </c>
    </row>
    <row r="40" spans="1:3">
      <c r="A40" s="353">
        <f t="shared" si="0"/>
        <v>23</v>
      </c>
      <c r="B40" s="354" t="s">
        <v>786</v>
      </c>
      <c r="C40" s="355" t="s">
        <v>933</v>
      </c>
    </row>
    <row r="41" spans="1:3">
      <c r="A41" s="353">
        <f t="shared" si="0"/>
        <v>24</v>
      </c>
      <c r="B41" s="354" t="s">
        <v>781</v>
      </c>
      <c r="C41" s="355" t="s">
        <v>933</v>
      </c>
    </row>
    <row r="42" spans="1:3" ht="25.5">
      <c r="A42" s="353">
        <f t="shared" si="0"/>
        <v>25</v>
      </c>
      <c r="B42" s="365" t="s">
        <v>938</v>
      </c>
      <c r="C42" s="355" t="s">
        <v>933</v>
      </c>
    </row>
    <row r="43" spans="1:3">
      <c r="A43" s="353">
        <f t="shared" si="0"/>
        <v>26</v>
      </c>
      <c r="B43" s="354" t="s">
        <v>784</v>
      </c>
      <c r="C43" s="355" t="s">
        <v>933</v>
      </c>
    </row>
    <row r="44" spans="1:3">
      <c r="A44" s="353">
        <f t="shared" si="0"/>
        <v>27</v>
      </c>
      <c r="B44" s="354" t="s">
        <v>778</v>
      </c>
      <c r="C44" s="355" t="s">
        <v>933</v>
      </c>
    </row>
    <row r="45" spans="1:3">
      <c r="A45" s="353">
        <f t="shared" si="0"/>
        <v>28</v>
      </c>
      <c r="B45" s="354" t="s">
        <v>798</v>
      </c>
      <c r="C45" s="355" t="s">
        <v>933</v>
      </c>
    </row>
    <row r="46" spans="1:3">
      <c r="A46" s="353">
        <f t="shared" si="0"/>
        <v>29</v>
      </c>
      <c r="B46" s="354" t="s">
        <v>789</v>
      </c>
      <c r="C46" s="355" t="s">
        <v>933</v>
      </c>
    </row>
    <row r="47" spans="1:3">
      <c r="A47" s="816" t="s">
        <v>800</v>
      </c>
      <c r="B47" s="817"/>
      <c r="C47" s="818"/>
    </row>
    <row r="48" spans="1:3">
      <c r="A48" s="353">
        <v>30</v>
      </c>
      <c r="B48" s="354" t="s">
        <v>802</v>
      </c>
      <c r="C48" s="355" t="s">
        <v>933</v>
      </c>
    </row>
    <row r="49" spans="1:3">
      <c r="A49" s="816" t="s">
        <v>804</v>
      </c>
      <c r="B49" s="817"/>
      <c r="C49" s="818"/>
    </row>
    <row r="50" spans="1:3">
      <c r="A50" s="353">
        <v>31</v>
      </c>
      <c r="B50" s="354" t="s">
        <v>939</v>
      </c>
      <c r="C50" s="355" t="s">
        <v>933</v>
      </c>
    </row>
    <row r="51" spans="1:3">
      <c r="A51" s="353">
        <f>A50+1</f>
        <v>32</v>
      </c>
      <c r="B51" s="354" t="s">
        <v>828</v>
      </c>
      <c r="C51" s="355" t="s">
        <v>933</v>
      </c>
    </row>
    <row r="52" spans="1:3">
      <c r="A52" s="611"/>
      <c r="B52" s="356"/>
      <c r="C52" s="356"/>
    </row>
    <row r="53" spans="1:3" ht="15.75">
      <c r="A53" s="819" t="s">
        <v>662</v>
      </c>
      <c r="B53" s="819"/>
      <c r="C53" s="819"/>
    </row>
    <row r="54" spans="1:3">
      <c r="A54" s="816" t="s">
        <v>7</v>
      </c>
      <c r="B54" s="817"/>
      <c r="C54" s="818"/>
    </row>
    <row r="55" spans="1:3">
      <c r="A55" s="353">
        <v>1</v>
      </c>
      <c r="B55" s="354" t="s">
        <v>878</v>
      </c>
      <c r="C55" s="354" t="s">
        <v>933</v>
      </c>
    </row>
    <row r="56" spans="1:3" ht="25.5">
      <c r="A56" s="353">
        <f>A55+1</f>
        <v>2</v>
      </c>
      <c r="B56" s="354" t="s">
        <v>940</v>
      </c>
      <c r="C56" s="354" t="s">
        <v>933</v>
      </c>
    </row>
    <row r="57" spans="1:3">
      <c r="A57" s="353">
        <f t="shared" ref="A57:A66" si="1">A56+1</f>
        <v>3</v>
      </c>
      <c r="B57" s="354" t="s">
        <v>44</v>
      </c>
      <c r="C57" s="354" t="s">
        <v>933</v>
      </c>
    </row>
    <row r="58" spans="1:3">
      <c r="A58" s="353">
        <f t="shared" si="1"/>
        <v>4</v>
      </c>
      <c r="B58" s="354" t="s">
        <v>877</v>
      </c>
      <c r="C58" s="354" t="s">
        <v>933</v>
      </c>
    </row>
    <row r="59" spans="1:3">
      <c r="A59" s="353">
        <f t="shared" si="1"/>
        <v>5</v>
      </c>
      <c r="B59" s="354" t="s">
        <v>50</v>
      </c>
      <c r="C59" s="354" t="s">
        <v>933</v>
      </c>
    </row>
    <row r="60" spans="1:3">
      <c r="A60" s="353">
        <f t="shared" si="1"/>
        <v>6</v>
      </c>
      <c r="B60" s="354" t="s">
        <v>31</v>
      </c>
      <c r="C60" s="354" t="s">
        <v>933</v>
      </c>
    </row>
    <row r="61" spans="1:3">
      <c r="A61" s="816" t="s">
        <v>59</v>
      </c>
      <c r="B61" s="817"/>
      <c r="C61" s="818"/>
    </row>
    <row r="62" spans="1:3">
      <c r="A62" s="353">
        <v>7</v>
      </c>
      <c r="B62" s="354" t="s">
        <v>61</v>
      </c>
      <c r="C62" s="355" t="s">
        <v>933</v>
      </c>
    </row>
    <row r="63" spans="1:3">
      <c r="A63" s="353">
        <f>A62+1</f>
        <v>8</v>
      </c>
      <c r="B63" s="354" t="s">
        <v>87</v>
      </c>
      <c r="C63" s="355" t="s">
        <v>933</v>
      </c>
    </row>
    <row r="64" spans="1:3">
      <c r="A64" s="353">
        <f t="shared" si="1"/>
        <v>9</v>
      </c>
      <c r="B64" s="354" t="s">
        <v>77</v>
      </c>
      <c r="C64" s="355" t="s">
        <v>933</v>
      </c>
    </row>
    <row r="65" spans="1:3">
      <c r="A65" s="353">
        <f t="shared" si="1"/>
        <v>10</v>
      </c>
      <c r="B65" s="354" t="s">
        <v>66</v>
      </c>
      <c r="C65" s="355" t="s">
        <v>933</v>
      </c>
    </row>
    <row r="66" spans="1:3">
      <c r="A66" s="353">
        <f t="shared" si="1"/>
        <v>11</v>
      </c>
      <c r="B66" s="354" t="s">
        <v>941</v>
      </c>
      <c r="C66" s="355" t="s">
        <v>933</v>
      </c>
    </row>
    <row r="67" spans="1:3">
      <c r="A67" s="816" t="s">
        <v>92</v>
      </c>
      <c r="B67" s="817"/>
      <c r="C67" s="818"/>
    </row>
    <row r="68" spans="1:3">
      <c r="A68" s="353">
        <v>12</v>
      </c>
      <c r="B68" s="354" t="s">
        <v>94</v>
      </c>
      <c r="C68" s="355" t="s">
        <v>933</v>
      </c>
    </row>
    <row r="69" spans="1:3">
      <c r="A69" s="816" t="s">
        <v>97</v>
      </c>
      <c r="B69" s="817"/>
      <c r="C69" s="818"/>
    </row>
    <row r="70" spans="1:3">
      <c r="A70" s="353">
        <v>13</v>
      </c>
      <c r="B70" s="354" t="s">
        <v>99</v>
      </c>
      <c r="C70" s="355" t="s">
        <v>933</v>
      </c>
    </row>
    <row r="71" spans="1:3">
      <c r="A71" s="353"/>
      <c r="B71" s="355"/>
      <c r="C71" s="355"/>
    </row>
    <row r="72" spans="1:3" ht="15.75">
      <c r="A72" s="800" t="s">
        <v>107</v>
      </c>
      <c r="B72" s="800"/>
      <c r="C72" s="800"/>
    </row>
    <row r="73" spans="1:3">
      <c r="A73" s="820" t="s">
        <v>997</v>
      </c>
      <c r="B73" s="821"/>
      <c r="C73" s="822"/>
    </row>
    <row r="74" spans="1:3">
      <c r="A74" s="347">
        <v>1</v>
      </c>
      <c r="B74" s="357" t="s">
        <v>942</v>
      </c>
      <c r="C74" s="357" t="s">
        <v>933</v>
      </c>
    </row>
    <row r="75" spans="1:3">
      <c r="A75" s="347">
        <f t="shared" ref="A75:A89" si="2">A74+1</f>
        <v>2</v>
      </c>
      <c r="B75" s="357" t="s">
        <v>115</v>
      </c>
      <c r="C75" s="357" t="s">
        <v>933</v>
      </c>
    </row>
    <row r="76" spans="1:3">
      <c r="A76" s="347">
        <f t="shared" si="2"/>
        <v>3</v>
      </c>
      <c r="B76" s="357" t="s">
        <v>120</v>
      </c>
      <c r="C76" s="357" t="s">
        <v>933</v>
      </c>
    </row>
    <row r="77" spans="1:3">
      <c r="A77" s="347">
        <f t="shared" si="2"/>
        <v>4</v>
      </c>
      <c r="B77" s="357" t="s">
        <v>117</v>
      </c>
      <c r="C77" s="357" t="s">
        <v>933</v>
      </c>
    </row>
    <row r="78" spans="1:3">
      <c r="A78" s="820" t="s">
        <v>121</v>
      </c>
      <c r="B78" s="821"/>
      <c r="C78" s="822"/>
    </row>
    <row r="79" spans="1:3">
      <c r="A79" s="347">
        <f>A77+1</f>
        <v>5</v>
      </c>
      <c r="B79" s="357" t="s">
        <v>125</v>
      </c>
      <c r="C79" s="357" t="s">
        <v>933</v>
      </c>
    </row>
    <row r="80" spans="1:3">
      <c r="A80" s="347">
        <f t="shared" si="2"/>
        <v>6</v>
      </c>
      <c r="B80" s="357" t="s">
        <v>123</v>
      </c>
      <c r="C80" s="357" t="s">
        <v>933</v>
      </c>
    </row>
    <row r="81" spans="1:3">
      <c r="A81" s="820" t="s">
        <v>126</v>
      </c>
      <c r="B81" s="821"/>
      <c r="C81" s="822"/>
    </row>
    <row r="82" spans="1:3">
      <c r="A82" s="347">
        <f>A80+1</f>
        <v>7</v>
      </c>
      <c r="B82" s="357" t="s">
        <v>128</v>
      </c>
      <c r="C82" s="357" t="s">
        <v>933</v>
      </c>
    </row>
    <row r="83" spans="1:3">
      <c r="A83" s="347">
        <f t="shared" si="2"/>
        <v>8</v>
      </c>
      <c r="B83" s="357" t="s">
        <v>129</v>
      </c>
      <c r="C83" s="357" t="s">
        <v>933</v>
      </c>
    </row>
    <row r="84" spans="1:3">
      <c r="A84" s="820" t="s">
        <v>131</v>
      </c>
      <c r="B84" s="821"/>
      <c r="C84" s="822"/>
    </row>
    <row r="85" spans="1:3">
      <c r="A85" s="347">
        <f>A83+1</f>
        <v>9</v>
      </c>
      <c r="B85" s="357" t="s">
        <v>134</v>
      </c>
      <c r="C85" s="357" t="s">
        <v>933</v>
      </c>
    </row>
    <row r="86" spans="1:3">
      <c r="A86" s="347">
        <f t="shared" si="2"/>
        <v>10</v>
      </c>
      <c r="B86" s="357" t="s">
        <v>133</v>
      </c>
      <c r="C86" s="357" t="s">
        <v>933</v>
      </c>
    </row>
    <row r="87" spans="1:3">
      <c r="A87" s="820" t="s">
        <v>135</v>
      </c>
      <c r="B87" s="821"/>
      <c r="C87" s="822"/>
    </row>
    <row r="88" spans="1:3">
      <c r="A88" s="347">
        <f>A86+1</f>
        <v>11</v>
      </c>
      <c r="B88" s="357" t="s">
        <v>137</v>
      </c>
      <c r="C88" s="357" t="s">
        <v>933</v>
      </c>
    </row>
    <row r="89" spans="1:3">
      <c r="A89" s="347">
        <f t="shared" si="2"/>
        <v>12</v>
      </c>
      <c r="B89" s="357" t="s">
        <v>138</v>
      </c>
      <c r="C89" s="357" t="s">
        <v>933</v>
      </c>
    </row>
    <row r="90" spans="1:3">
      <c r="A90" s="630"/>
      <c r="B90" s="631"/>
      <c r="C90" s="631"/>
    </row>
    <row r="91" spans="1:3">
      <c r="A91" s="353"/>
      <c r="B91" s="355"/>
      <c r="C91" s="355"/>
    </row>
    <row r="92" spans="1:3" ht="15.75">
      <c r="A92" s="819" t="s">
        <v>139</v>
      </c>
      <c r="B92" s="819"/>
      <c r="C92" s="819"/>
    </row>
    <row r="93" spans="1:3">
      <c r="A93" s="683" t="s">
        <v>140</v>
      </c>
      <c r="B93" s="684"/>
      <c r="C93" s="685"/>
    </row>
    <row r="94" spans="1:3">
      <c r="A94" s="349">
        <v>1</v>
      </c>
      <c r="B94" s="354" t="s">
        <v>152</v>
      </c>
      <c r="C94" s="354" t="s">
        <v>933</v>
      </c>
    </row>
    <row r="95" spans="1:3">
      <c r="A95" s="349">
        <f>A94+1</f>
        <v>2</v>
      </c>
      <c r="B95" s="354" t="s">
        <v>142</v>
      </c>
      <c r="C95" s="354" t="s">
        <v>933</v>
      </c>
    </row>
    <row r="96" spans="1:3">
      <c r="A96" s="683" t="s">
        <v>154</v>
      </c>
      <c r="B96" s="684"/>
      <c r="C96" s="685"/>
    </row>
    <row r="97" spans="1:3">
      <c r="A97" s="349">
        <f>A95+1</f>
        <v>3</v>
      </c>
      <c r="B97" s="354" t="s">
        <v>156</v>
      </c>
      <c r="C97" s="354" t="s">
        <v>933</v>
      </c>
    </row>
    <row r="98" spans="1:3">
      <c r="A98" s="683" t="s">
        <v>160</v>
      </c>
      <c r="B98" s="684"/>
      <c r="C98" s="685"/>
    </row>
    <row r="99" spans="1:3">
      <c r="A99" s="349">
        <f>A97+1</f>
        <v>4</v>
      </c>
      <c r="B99" s="354" t="s">
        <v>162</v>
      </c>
      <c r="C99" s="354" t="s">
        <v>933</v>
      </c>
    </row>
    <row r="100" spans="1:3">
      <c r="A100" s="683" t="s">
        <v>164</v>
      </c>
      <c r="B100" s="684"/>
      <c r="C100" s="685"/>
    </row>
    <row r="101" spans="1:3">
      <c r="A101" s="349">
        <f>A99+1</f>
        <v>5</v>
      </c>
      <c r="B101" s="354" t="s">
        <v>208</v>
      </c>
      <c r="C101" s="354" t="s">
        <v>933</v>
      </c>
    </row>
    <row r="102" spans="1:3">
      <c r="A102" s="349">
        <f>A101+1</f>
        <v>6</v>
      </c>
      <c r="B102" s="354" t="s">
        <v>166</v>
      </c>
      <c r="C102" s="354" t="s">
        <v>933</v>
      </c>
    </row>
    <row r="103" spans="1:3">
      <c r="A103" s="349">
        <f>A102+1</f>
        <v>7</v>
      </c>
      <c r="B103" s="354" t="s">
        <v>176</v>
      </c>
      <c r="C103" s="354" t="s">
        <v>933</v>
      </c>
    </row>
    <row r="104" spans="1:3">
      <c r="A104" s="349">
        <f>A103+1</f>
        <v>8</v>
      </c>
      <c r="B104" s="354" t="s">
        <v>172</v>
      </c>
      <c r="C104" s="354" t="s">
        <v>933</v>
      </c>
    </row>
    <row r="105" spans="1:3">
      <c r="A105" s="349"/>
      <c r="B105" s="354"/>
      <c r="C105" s="354"/>
    </row>
    <row r="106" spans="1:3" ht="15.75">
      <c r="A106" s="819" t="s">
        <v>664</v>
      </c>
      <c r="B106" s="819"/>
      <c r="C106" s="819"/>
    </row>
    <row r="107" spans="1:3">
      <c r="A107" s="820" t="s">
        <v>681</v>
      </c>
      <c r="B107" s="821"/>
      <c r="C107" s="822"/>
    </row>
    <row r="108" spans="1:3">
      <c r="A108" s="627">
        <v>1</v>
      </c>
      <c r="B108" s="628" t="s">
        <v>213</v>
      </c>
      <c r="C108" s="628" t="s">
        <v>943</v>
      </c>
    </row>
    <row r="109" spans="1:3">
      <c r="A109" s="627">
        <v>2</v>
      </c>
      <c r="B109" s="628" t="s">
        <v>220</v>
      </c>
      <c r="C109" s="628" t="s">
        <v>943</v>
      </c>
    </row>
    <row r="110" spans="1:3">
      <c r="A110" s="627">
        <v>3</v>
      </c>
      <c r="B110" s="628" t="s">
        <v>250</v>
      </c>
      <c r="C110" s="628" t="s">
        <v>943</v>
      </c>
    </row>
    <row r="111" spans="1:3">
      <c r="A111" s="627">
        <v>4</v>
      </c>
      <c r="B111" s="628" t="s">
        <v>232</v>
      </c>
      <c r="C111" s="628" t="s">
        <v>943</v>
      </c>
    </row>
    <row r="112" spans="1:3" ht="25.5">
      <c r="A112" s="627">
        <v>5</v>
      </c>
      <c r="B112" s="628" t="s">
        <v>1004</v>
      </c>
      <c r="C112" s="628" t="s">
        <v>943</v>
      </c>
    </row>
    <row r="113" spans="1:3">
      <c r="A113" s="627">
        <v>6</v>
      </c>
      <c r="B113" s="628" t="s">
        <v>268</v>
      </c>
      <c r="C113" s="628" t="s">
        <v>943</v>
      </c>
    </row>
    <row r="114" spans="1:3">
      <c r="A114" s="627">
        <v>7</v>
      </c>
      <c r="B114" s="628" t="s">
        <v>270</v>
      </c>
      <c r="C114" s="628" t="s">
        <v>943</v>
      </c>
    </row>
    <row r="115" spans="1:3">
      <c r="A115" s="627">
        <v>8</v>
      </c>
      <c r="B115" s="628" t="s">
        <v>272</v>
      </c>
      <c r="C115" s="628" t="s">
        <v>943</v>
      </c>
    </row>
    <row r="116" spans="1:3">
      <c r="A116" s="627">
        <v>9</v>
      </c>
      <c r="B116" s="628" t="s">
        <v>894</v>
      </c>
      <c r="C116" s="628" t="s">
        <v>943</v>
      </c>
    </row>
    <row r="117" spans="1:3">
      <c r="A117" s="627">
        <v>10</v>
      </c>
      <c r="B117" s="628" t="s">
        <v>284</v>
      </c>
      <c r="C117" s="628" t="s">
        <v>943</v>
      </c>
    </row>
    <row r="118" spans="1:3">
      <c r="A118" s="627">
        <v>11</v>
      </c>
      <c r="B118" s="628" t="s">
        <v>293</v>
      </c>
      <c r="C118" s="628" t="s">
        <v>943</v>
      </c>
    </row>
    <row r="119" spans="1:3">
      <c r="A119" s="627">
        <v>12</v>
      </c>
      <c r="B119" s="628" t="s">
        <v>299</v>
      </c>
      <c r="C119" s="628" t="s">
        <v>943</v>
      </c>
    </row>
    <row r="120" spans="1:3">
      <c r="A120" s="627">
        <v>13</v>
      </c>
      <c r="B120" s="628" t="s">
        <v>978</v>
      </c>
      <c r="C120" s="628" t="s">
        <v>943</v>
      </c>
    </row>
    <row r="121" spans="1:3">
      <c r="A121" s="627">
        <v>14</v>
      </c>
      <c r="B121" s="628" t="s">
        <v>303</v>
      </c>
      <c r="C121" s="628" t="s">
        <v>943</v>
      </c>
    </row>
    <row r="122" spans="1:3">
      <c r="A122" s="627">
        <v>15</v>
      </c>
      <c r="B122" s="628" t="s">
        <v>306</v>
      </c>
      <c r="C122" s="628" t="s">
        <v>943</v>
      </c>
    </row>
    <row r="123" spans="1:3">
      <c r="A123" s="820" t="s">
        <v>665</v>
      </c>
      <c r="B123" s="821"/>
      <c r="C123" s="822"/>
    </row>
    <row r="124" spans="1:3">
      <c r="A124" s="627">
        <v>16</v>
      </c>
      <c r="B124" s="628" t="s">
        <v>310</v>
      </c>
      <c r="C124" s="628" t="s">
        <v>943</v>
      </c>
    </row>
    <row r="125" spans="1:3">
      <c r="A125" s="627">
        <v>17</v>
      </c>
      <c r="B125" s="628" t="s">
        <v>308</v>
      </c>
      <c r="C125" s="628" t="s">
        <v>943</v>
      </c>
    </row>
    <row r="126" spans="1:3">
      <c r="A126" s="627">
        <v>18</v>
      </c>
      <c r="B126" s="628" t="s">
        <v>317</v>
      </c>
      <c r="C126" s="628" t="s">
        <v>943</v>
      </c>
    </row>
    <row r="127" spans="1:3">
      <c r="A127" s="627">
        <v>19</v>
      </c>
      <c r="B127" s="628" t="s">
        <v>320</v>
      </c>
      <c r="C127" s="628" t="s">
        <v>943</v>
      </c>
    </row>
    <row r="128" spans="1:3">
      <c r="A128" s="627">
        <v>20</v>
      </c>
      <c r="B128" s="628" t="s">
        <v>314</v>
      </c>
      <c r="C128" s="628" t="s">
        <v>943</v>
      </c>
    </row>
    <row r="129" spans="1:3" ht="25.5">
      <c r="A129" s="627">
        <v>21</v>
      </c>
      <c r="B129" s="628" t="s">
        <v>944</v>
      </c>
      <c r="C129" s="628" t="s">
        <v>943</v>
      </c>
    </row>
    <row r="130" spans="1:3">
      <c r="A130" s="820" t="s">
        <v>666</v>
      </c>
      <c r="B130" s="821"/>
      <c r="C130" s="822"/>
    </row>
    <row r="131" spans="1:3">
      <c r="A131" s="627">
        <v>22</v>
      </c>
      <c r="B131" s="628" t="s">
        <v>322</v>
      </c>
      <c r="C131" s="628" t="s">
        <v>943</v>
      </c>
    </row>
    <row r="132" spans="1:3">
      <c r="A132" s="820" t="s">
        <v>667</v>
      </c>
      <c r="B132" s="821"/>
      <c r="C132" s="822"/>
    </row>
    <row r="133" spans="1:3">
      <c r="A133" s="627">
        <v>23</v>
      </c>
      <c r="B133" s="628" t="s">
        <v>348</v>
      </c>
      <c r="C133" s="628" t="s">
        <v>943</v>
      </c>
    </row>
    <row r="134" spans="1:3">
      <c r="A134" s="627">
        <v>24</v>
      </c>
      <c r="B134" s="628" t="s">
        <v>325</v>
      </c>
      <c r="C134" s="628" t="s">
        <v>943</v>
      </c>
    </row>
    <row r="135" spans="1:3">
      <c r="A135" s="627">
        <v>25</v>
      </c>
      <c r="B135" s="628" t="s">
        <v>328</v>
      </c>
      <c r="C135" s="628" t="s">
        <v>943</v>
      </c>
    </row>
    <row r="136" spans="1:3">
      <c r="A136" s="627">
        <v>26</v>
      </c>
      <c r="B136" s="628" t="s">
        <v>354</v>
      </c>
      <c r="C136" s="628" t="s">
        <v>943</v>
      </c>
    </row>
    <row r="137" spans="1:3">
      <c r="A137" s="627">
        <v>27</v>
      </c>
      <c r="B137" s="628" t="s">
        <v>352</v>
      </c>
      <c r="C137" s="628" t="s">
        <v>943</v>
      </c>
    </row>
    <row r="138" spans="1:3">
      <c r="A138" s="627">
        <v>28</v>
      </c>
      <c r="B138" s="628" t="s">
        <v>897</v>
      </c>
      <c r="C138" s="628" t="s">
        <v>943</v>
      </c>
    </row>
    <row r="139" spans="1:3">
      <c r="A139" s="627">
        <v>29</v>
      </c>
      <c r="B139" s="628" t="s">
        <v>335</v>
      </c>
      <c r="C139" s="628" t="s">
        <v>943</v>
      </c>
    </row>
    <row r="140" spans="1:3">
      <c r="A140" s="820" t="s">
        <v>670</v>
      </c>
      <c r="B140" s="821"/>
      <c r="C140" s="822"/>
    </row>
    <row r="141" spans="1:3">
      <c r="A141" s="627">
        <v>30</v>
      </c>
      <c r="B141" s="628" t="s">
        <v>359</v>
      </c>
      <c r="C141" s="628" t="s">
        <v>943</v>
      </c>
    </row>
    <row r="142" spans="1:3">
      <c r="A142" s="627">
        <v>31</v>
      </c>
      <c r="B142" s="628" t="s">
        <v>360</v>
      </c>
      <c r="C142" s="628" t="s">
        <v>943</v>
      </c>
    </row>
    <row r="143" spans="1:3">
      <c r="A143" s="820" t="s">
        <v>672</v>
      </c>
      <c r="B143" s="821"/>
      <c r="C143" s="822"/>
    </row>
    <row r="144" spans="1:3">
      <c r="A144" s="627">
        <v>32</v>
      </c>
      <c r="B144" s="628" t="s">
        <v>900</v>
      </c>
      <c r="C144" s="628" t="s">
        <v>943</v>
      </c>
    </row>
    <row r="145" spans="1:3">
      <c r="A145" s="820" t="s">
        <v>674</v>
      </c>
      <c r="B145" s="821"/>
      <c r="C145" s="822"/>
    </row>
    <row r="146" spans="1:3">
      <c r="A146" s="627">
        <v>33</v>
      </c>
      <c r="B146" s="628" t="s">
        <v>361</v>
      </c>
      <c r="C146" s="628" t="s">
        <v>943</v>
      </c>
    </row>
    <row r="147" spans="1:3">
      <c r="A147" s="353"/>
      <c r="B147" s="355"/>
      <c r="C147" s="355"/>
    </row>
    <row r="148" spans="1:3" ht="15.75">
      <c r="A148" s="819" t="s">
        <v>676</v>
      </c>
      <c r="B148" s="819"/>
      <c r="C148" s="819"/>
    </row>
    <row r="149" spans="1:3">
      <c r="A149" s="816" t="s">
        <v>363</v>
      </c>
      <c r="B149" s="817"/>
      <c r="C149" s="818"/>
    </row>
    <row r="150" spans="1:3">
      <c r="A150" s="353">
        <v>1</v>
      </c>
      <c r="B150" s="629" t="s">
        <v>365</v>
      </c>
      <c r="C150" s="629" t="s">
        <v>945</v>
      </c>
    </row>
    <row r="151" spans="1:3">
      <c r="A151" s="816" t="s">
        <v>369</v>
      </c>
      <c r="B151" s="817"/>
      <c r="C151" s="818"/>
    </row>
    <row r="152" spans="1:3">
      <c r="A152" s="353">
        <f>A150+1</f>
        <v>2</v>
      </c>
      <c r="B152" s="629" t="s">
        <v>377</v>
      </c>
      <c r="C152" s="629" t="s">
        <v>945</v>
      </c>
    </row>
    <row r="153" spans="1:3">
      <c r="A153" s="353">
        <f>A152+1</f>
        <v>3</v>
      </c>
      <c r="B153" s="629" t="s">
        <v>371</v>
      </c>
      <c r="C153" s="629" t="s">
        <v>945</v>
      </c>
    </row>
    <row r="154" spans="1:3">
      <c r="A154" s="353">
        <f>A153+1</f>
        <v>4</v>
      </c>
      <c r="B154" s="629" t="s">
        <v>380</v>
      </c>
      <c r="C154" s="629" t="s">
        <v>945</v>
      </c>
    </row>
    <row r="155" spans="1:3">
      <c r="A155" s="816" t="s">
        <v>382</v>
      </c>
      <c r="B155" s="817"/>
      <c r="C155" s="818"/>
    </row>
    <row r="156" spans="1:3">
      <c r="A156" s="353">
        <v>5</v>
      </c>
      <c r="B156" s="629" t="s">
        <v>384</v>
      </c>
      <c r="C156" s="629" t="s">
        <v>945</v>
      </c>
    </row>
    <row r="157" spans="1:3">
      <c r="A157" s="816" t="s">
        <v>946</v>
      </c>
      <c r="B157" s="817"/>
      <c r="C157" s="818"/>
    </row>
    <row r="158" spans="1:3">
      <c r="A158" s="353">
        <f>A156+1</f>
        <v>6</v>
      </c>
      <c r="B158" s="629" t="s">
        <v>906</v>
      </c>
      <c r="C158" s="629" t="s">
        <v>945</v>
      </c>
    </row>
    <row r="159" spans="1:3">
      <c r="A159" s="353">
        <f>A158+1</f>
        <v>7</v>
      </c>
      <c r="B159" s="629" t="s">
        <v>391</v>
      </c>
      <c r="C159" s="629" t="s">
        <v>945</v>
      </c>
    </row>
    <row r="160" spans="1:3">
      <c r="A160" s="816" t="s">
        <v>947</v>
      </c>
      <c r="B160" s="817"/>
      <c r="C160" s="818"/>
    </row>
    <row r="161" spans="1:3">
      <c r="A161" s="353">
        <f>A159+1</f>
        <v>8</v>
      </c>
      <c r="B161" s="629" t="s">
        <v>395</v>
      </c>
      <c r="C161" s="629" t="s">
        <v>945</v>
      </c>
    </row>
    <row r="162" spans="1:3">
      <c r="A162" s="353">
        <f>A161+1</f>
        <v>9</v>
      </c>
      <c r="B162" s="629" t="s">
        <v>394</v>
      </c>
      <c r="C162" s="629" t="s">
        <v>945</v>
      </c>
    </row>
    <row r="163" spans="1:3">
      <c r="A163" s="816" t="s">
        <v>400</v>
      </c>
      <c r="B163" s="817"/>
      <c r="C163" s="818"/>
    </row>
    <row r="164" spans="1:3">
      <c r="A164" s="353">
        <f>A162+1</f>
        <v>10</v>
      </c>
      <c r="B164" s="629" t="s">
        <v>402</v>
      </c>
      <c r="C164" s="629" t="s">
        <v>945</v>
      </c>
    </row>
    <row r="165" spans="1:3">
      <c r="A165" s="816" t="s">
        <v>998</v>
      </c>
      <c r="B165" s="817"/>
      <c r="C165" s="818"/>
    </row>
    <row r="166" spans="1:3">
      <c r="A166" s="353">
        <f>A164+1</f>
        <v>11</v>
      </c>
      <c r="B166" s="629" t="s">
        <v>410</v>
      </c>
      <c r="C166" s="629" t="s">
        <v>945</v>
      </c>
    </row>
    <row r="167" spans="1:3">
      <c r="A167" s="353">
        <f>A166+1</f>
        <v>12</v>
      </c>
      <c r="B167" s="629" t="s">
        <v>406</v>
      </c>
      <c r="C167" s="629" t="s">
        <v>945</v>
      </c>
    </row>
    <row r="168" spans="1:3">
      <c r="A168" s="816" t="s">
        <v>412</v>
      </c>
      <c r="B168" s="817"/>
      <c r="C168" s="818"/>
    </row>
    <row r="169" spans="1:3">
      <c r="A169" s="353">
        <f>A167+1</f>
        <v>13</v>
      </c>
      <c r="B169" s="629" t="s">
        <v>442</v>
      </c>
      <c r="C169" s="629" t="s">
        <v>945</v>
      </c>
    </row>
    <row r="170" spans="1:3">
      <c r="A170" s="353">
        <f t="shared" ref="A170:A175" si="3">A169+1</f>
        <v>14</v>
      </c>
      <c r="B170" s="629" t="s">
        <v>414</v>
      </c>
      <c r="C170" s="629" t="s">
        <v>945</v>
      </c>
    </row>
    <row r="171" spans="1:3">
      <c r="A171" s="353">
        <f t="shared" si="3"/>
        <v>15</v>
      </c>
      <c r="B171" s="629" t="s">
        <v>421</v>
      </c>
      <c r="C171" s="629" t="s">
        <v>945</v>
      </c>
    </row>
    <row r="172" spans="1:3">
      <c r="A172" s="353">
        <f t="shared" si="3"/>
        <v>16</v>
      </c>
      <c r="B172" s="629" t="s">
        <v>433</v>
      </c>
      <c r="C172" s="629" t="s">
        <v>945</v>
      </c>
    </row>
    <row r="173" spans="1:3">
      <c r="A173" s="353">
        <f t="shared" si="3"/>
        <v>17</v>
      </c>
      <c r="B173" s="629" t="s">
        <v>434</v>
      </c>
      <c r="C173" s="629" t="s">
        <v>945</v>
      </c>
    </row>
    <row r="174" spans="1:3">
      <c r="A174" s="353">
        <f t="shared" si="3"/>
        <v>18</v>
      </c>
      <c r="B174" s="629" t="s">
        <v>428</v>
      </c>
      <c r="C174" s="629" t="s">
        <v>945</v>
      </c>
    </row>
    <row r="175" spans="1:3">
      <c r="A175" s="353">
        <f t="shared" si="3"/>
        <v>19</v>
      </c>
      <c r="B175" s="629" t="s">
        <v>424</v>
      </c>
      <c r="C175" s="629" t="s">
        <v>945</v>
      </c>
    </row>
    <row r="176" spans="1:3">
      <c r="A176" s="816" t="s">
        <v>914</v>
      </c>
      <c r="B176" s="817"/>
      <c r="C176" s="818"/>
    </row>
    <row r="177" spans="1:3">
      <c r="A177" s="353">
        <f>A175+1</f>
        <v>20</v>
      </c>
      <c r="B177" s="629" t="s">
        <v>461</v>
      </c>
      <c r="C177" s="629" t="s">
        <v>945</v>
      </c>
    </row>
    <row r="178" spans="1:3">
      <c r="A178" s="353">
        <f>A177+1</f>
        <v>21</v>
      </c>
      <c r="B178" s="629" t="s">
        <v>975</v>
      </c>
      <c r="C178" s="629" t="s">
        <v>945</v>
      </c>
    </row>
    <row r="179" spans="1:3">
      <c r="A179" s="816" t="s">
        <v>948</v>
      </c>
      <c r="B179" s="817"/>
      <c r="C179" s="818"/>
    </row>
    <row r="180" spans="1:3">
      <c r="A180" s="353">
        <f>A178+1</f>
        <v>22</v>
      </c>
      <c r="B180" s="629" t="s">
        <v>477</v>
      </c>
      <c r="C180" s="629" t="s">
        <v>945</v>
      </c>
    </row>
    <row r="181" spans="1:3">
      <c r="A181" s="353">
        <f>A180+1</f>
        <v>23</v>
      </c>
      <c r="B181" s="629" t="s">
        <v>949</v>
      </c>
      <c r="C181" s="629" t="s">
        <v>945</v>
      </c>
    </row>
    <row r="182" spans="1:3">
      <c r="A182" s="353">
        <f>A181+1</f>
        <v>24</v>
      </c>
      <c r="B182" s="629" t="s">
        <v>470</v>
      </c>
      <c r="C182" s="629" t="s">
        <v>945</v>
      </c>
    </row>
    <row r="183" spans="1:3">
      <c r="A183" s="353">
        <f>A182+1</f>
        <v>25</v>
      </c>
      <c r="B183" s="629" t="s">
        <v>478</v>
      </c>
      <c r="C183" s="629" t="s">
        <v>945</v>
      </c>
    </row>
    <row r="184" spans="1:3">
      <c r="A184" s="353">
        <f>A183+1</f>
        <v>26</v>
      </c>
      <c r="B184" s="629" t="s">
        <v>479</v>
      </c>
      <c r="C184" s="629" t="s">
        <v>945</v>
      </c>
    </row>
    <row r="185" spans="1:3">
      <c r="A185" s="816" t="s">
        <v>483</v>
      </c>
      <c r="B185" s="817"/>
      <c r="C185" s="818"/>
    </row>
    <row r="186" spans="1:3">
      <c r="A186" s="353">
        <f>A184+1</f>
        <v>27</v>
      </c>
      <c r="B186" s="629" t="s">
        <v>1005</v>
      </c>
      <c r="C186" s="629" t="s">
        <v>945</v>
      </c>
    </row>
    <row r="187" spans="1:3">
      <c r="A187" s="816" t="s">
        <v>494</v>
      </c>
      <c r="B187" s="817"/>
      <c r="C187" s="818"/>
    </row>
    <row r="188" spans="1:3">
      <c r="A188" s="353">
        <f>A186+1</f>
        <v>28</v>
      </c>
      <c r="B188" s="629" t="s">
        <v>496</v>
      </c>
      <c r="C188" s="629" t="s">
        <v>945</v>
      </c>
    </row>
    <row r="189" spans="1:3">
      <c r="A189" s="816" t="s">
        <v>497</v>
      </c>
      <c r="B189" s="817"/>
      <c r="C189" s="818"/>
    </row>
    <row r="190" spans="1:3">
      <c r="A190" s="353">
        <f>A188+1</f>
        <v>29</v>
      </c>
      <c r="B190" s="629" t="s">
        <v>501</v>
      </c>
      <c r="C190" s="629" t="s">
        <v>945</v>
      </c>
    </row>
    <row r="191" spans="1:3">
      <c r="A191" s="353">
        <f>A190+1</f>
        <v>30</v>
      </c>
      <c r="B191" s="629" t="s">
        <v>499</v>
      </c>
      <c r="C191" s="629" t="s">
        <v>945</v>
      </c>
    </row>
    <row r="192" spans="1:3">
      <c r="A192" s="353"/>
      <c r="B192" s="355"/>
      <c r="C192" s="355"/>
    </row>
    <row r="193" spans="1:3" ht="15.75">
      <c r="A193" s="819" t="s">
        <v>661</v>
      </c>
      <c r="B193" s="819"/>
      <c r="C193" s="819"/>
    </row>
    <row r="194" spans="1:3">
      <c r="A194" s="816" t="s">
        <v>505</v>
      </c>
      <c r="B194" s="817"/>
      <c r="C194" s="818"/>
    </row>
    <row r="195" spans="1:3">
      <c r="A195" s="353">
        <v>1</v>
      </c>
      <c r="B195" s="355" t="s">
        <v>508</v>
      </c>
      <c r="C195" s="355" t="s">
        <v>933</v>
      </c>
    </row>
    <row r="196" spans="1:3" ht="12.75" customHeight="1">
      <c r="A196" s="353">
        <v>2</v>
      </c>
      <c r="B196" s="355" t="s">
        <v>1006</v>
      </c>
      <c r="C196" s="355" t="s">
        <v>933</v>
      </c>
    </row>
    <row r="197" spans="1:3">
      <c r="A197" s="816" t="s">
        <v>511</v>
      </c>
      <c r="B197" s="817"/>
      <c r="C197" s="818"/>
    </row>
    <row r="198" spans="1:3">
      <c r="A198" s="353">
        <v>3</v>
      </c>
      <c r="B198" s="355" t="s">
        <v>513</v>
      </c>
      <c r="C198" s="355" t="s">
        <v>933</v>
      </c>
    </row>
    <row r="199" spans="1:3">
      <c r="A199" s="353">
        <v>4</v>
      </c>
      <c r="B199" s="355" t="s">
        <v>517</v>
      </c>
      <c r="C199" s="355" t="s">
        <v>933</v>
      </c>
    </row>
    <row r="200" spans="1:3">
      <c r="A200" s="353"/>
      <c r="B200" s="355" t="s">
        <v>513</v>
      </c>
      <c r="C200" s="355" t="s">
        <v>951</v>
      </c>
    </row>
    <row r="201" spans="1:3">
      <c r="A201" s="353">
        <v>5</v>
      </c>
      <c r="B201" s="355" t="s">
        <v>922</v>
      </c>
      <c r="C201" s="355" t="s">
        <v>951</v>
      </c>
    </row>
    <row r="202" spans="1:3">
      <c r="A202" s="816" t="s">
        <v>518</v>
      </c>
      <c r="B202" s="817"/>
      <c r="C202" s="818"/>
    </row>
    <row r="203" spans="1:3">
      <c r="A203" s="353">
        <v>6</v>
      </c>
      <c r="B203" s="354" t="s">
        <v>520</v>
      </c>
      <c r="C203" s="355" t="s">
        <v>933</v>
      </c>
    </row>
    <row r="204" spans="1:3">
      <c r="A204" s="353">
        <f>A203+1</f>
        <v>7</v>
      </c>
      <c r="B204" s="354" t="s">
        <v>923</v>
      </c>
      <c r="C204" s="355" t="s">
        <v>951</v>
      </c>
    </row>
    <row r="205" spans="1:3">
      <c r="A205" s="816" t="s">
        <v>521</v>
      </c>
      <c r="B205" s="817"/>
      <c r="C205" s="818"/>
    </row>
    <row r="206" spans="1:3">
      <c r="A206" s="353">
        <v>8</v>
      </c>
      <c r="B206" s="355" t="s">
        <v>952</v>
      </c>
      <c r="C206" s="355" t="s">
        <v>933</v>
      </c>
    </row>
    <row r="207" spans="1:3">
      <c r="A207" s="353">
        <f>A206+1</f>
        <v>9</v>
      </c>
      <c r="B207" s="355" t="s">
        <v>924</v>
      </c>
      <c r="C207" s="355" t="s">
        <v>951</v>
      </c>
    </row>
    <row r="208" spans="1:3">
      <c r="A208" s="816" t="s">
        <v>953</v>
      </c>
      <c r="B208" s="817"/>
      <c r="C208" s="818"/>
    </row>
    <row r="209" spans="1:3">
      <c r="A209" s="353">
        <v>10</v>
      </c>
      <c r="B209" s="355" t="s">
        <v>527</v>
      </c>
      <c r="C209" s="355" t="s">
        <v>933</v>
      </c>
    </row>
    <row r="210" spans="1:3">
      <c r="A210" s="353">
        <f>A209+1</f>
        <v>11</v>
      </c>
      <c r="B210" s="355" t="s">
        <v>529</v>
      </c>
      <c r="C210" s="355" t="s">
        <v>933</v>
      </c>
    </row>
    <row r="211" spans="1:3">
      <c r="A211" s="816" t="s">
        <v>530</v>
      </c>
      <c r="B211" s="817"/>
      <c r="C211" s="818"/>
    </row>
    <row r="212" spans="1:3">
      <c r="A212" s="353">
        <v>12</v>
      </c>
      <c r="B212" s="355" t="s">
        <v>532</v>
      </c>
      <c r="C212" s="355" t="s">
        <v>933</v>
      </c>
    </row>
    <row r="213" spans="1:3">
      <c r="A213" s="353">
        <v>13</v>
      </c>
      <c r="B213" s="355" t="s">
        <v>954</v>
      </c>
      <c r="C213" s="355" t="s">
        <v>933</v>
      </c>
    </row>
    <row r="214" spans="1:3">
      <c r="A214" s="353">
        <v>14</v>
      </c>
      <c r="B214" s="355" t="s">
        <v>926</v>
      </c>
      <c r="C214" s="355" t="s">
        <v>951</v>
      </c>
    </row>
    <row r="215" spans="1:3">
      <c r="A215" s="816" t="s">
        <v>540</v>
      </c>
      <c r="B215" s="817"/>
      <c r="C215" s="818"/>
    </row>
    <row r="216" spans="1:3">
      <c r="A216" s="353">
        <v>15</v>
      </c>
      <c r="B216" s="355" t="s">
        <v>542</v>
      </c>
      <c r="C216" s="355" t="s">
        <v>933</v>
      </c>
    </row>
    <row r="217" spans="1:3">
      <c r="A217" s="353">
        <v>16</v>
      </c>
      <c r="B217" s="355" t="s">
        <v>545</v>
      </c>
      <c r="C217" s="355" t="s">
        <v>933</v>
      </c>
    </row>
    <row r="218" spans="1:3">
      <c r="A218" s="353">
        <v>17</v>
      </c>
      <c r="B218" s="355" t="s">
        <v>927</v>
      </c>
      <c r="C218" s="355" t="s">
        <v>951</v>
      </c>
    </row>
    <row r="219" spans="1:3">
      <c r="A219" s="353"/>
      <c r="B219" s="355"/>
      <c r="C219" s="355"/>
    </row>
    <row r="220" spans="1:3" ht="15.75">
      <c r="A220" s="819" t="s">
        <v>683</v>
      </c>
      <c r="B220" s="819"/>
      <c r="C220" s="819"/>
    </row>
    <row r="221" spans="1:3">
      <c r="A221" s="353">
        <v>1</v>
      </c>
      <c r="B221" s="354" t="s">
        <v>955</v>
      </c>
      <c r="C221" s="354" t="s">
        <v>933</v>
      </c>
    </row>
    <row r="222" spans="1:3">
      <c r="A222" s="353">
        <f>A221+1</f>
        <v>2</v>
      </c>
      <c r="B222" s="354" t="s">
        <v>551</v>
      </c>
      <c r="C222" s="354" t="s">
        <v>933</v>
      </c>
    </row>
    <row r="223" spans="1:3">
      <c r="A223" s="353">
        <f t="shared" ref="A223:A229" si="4">A222+1</f>
        <v>3</v>
      </c>
      <c r="B223" s="354" t="s">
        <v>581</v>
      </c>
      <c r="C223" s="354" t="s">
        <v>933</v>
      </c>
    </row>
    <row r="224" spans="1:3">
      <c r="A224" s="353">
        <f t="shared" si="4"/>
        <v>4</v>
      </c>
      <c r="B224" s="354" t="s">
        <v>566</v>
      </c>
      <c r="C224" s="354" t="s">
        <v>933</v>
      </c>
    </row>
    <row r="225" spans="1:3">
      <c r="A225" s="353">
        <f t="shared" si="4"/>
        <v>5</v>
      </c>
      <c r="B225" s="354" t="s">
        <v>956</v>
      </c>
      <c r="C225" s="354" t="s">
        <v>933</v>
      </c>
    </row>
    <row r="226" spans="1:3">
      <c r="A226" s="353">
        <f t="shared" si="4"/>
        <v>6</v>
      </c>
      <c r="B226" s="354" t="s">
        <v>610</v>
      </c>
      <c r="C226" s="354" t="s">
        <v>933</v>
      </c>
    </row>
    <row r="227" spans="1:3">
      <c r="A227" s="353">
        <f t="shared" si="4"/>
        <v>7</v>
      </c>
      <c r="B227" s="354" t="s">
        <v>595</v>
      </c>
      <c r="C227" s="354" t="s">
        <v>933</v>
      </c>
    </row>
    <row r="228" spans="1:3">
      <c r="A228" s="353">
        <f t="shared" si="4"/>
        <v>8</v>
      </c>
      <c r="B228" s="354" t="s">
        <v>622</v>
      </c>
      <c r="C228" s="354" t="s">
        <v>933</v>
      </c>
    </row>
    <row r="229" spans="1:3">
      <c r="A229" s="353">
        <f t="shared" si="4"/>
        <v>9</v>
      </c>
      <c r="B229" s="354" t="s">
        <v>643</v>
      </c>
      <c r="C229" s="354" t="s">
        <v>933</v>
      </c>
    </row>
    <row r="231" spans="1:3">
      <c r="A231" s="350">
        <f>A51+A70+A89+A104+A146+A191+A218+A229</f>
        <v>154</v>
      </c>
    </row>
  </sheetData>
  <mergeCells count="61">
    <mergeCell ref="A22:C22"/>
    <mergeCell ref="A4:C4"/>
    <mergeCell ref="A8:C8"/>
    <mergeCell ref="A15:C15"/>
    <mergeCell ref="A17:C17"/>
    <mergeCell ref="A20:C20"/>
    <mergeCell ref="A7:C7"/>
    <mergeCell ref="A107:C107"/>
    <mergeCell ref="A106:C106"/>
    <mergeCell ref="A72:C72"/>
    <mergeCell ref="A24:C24"/>
    <mergeCell ref="A27:C27"/>
    <mergeCell ref="A29:C29"/>
    <mergeCell ref="A31:C31"/>
    <mergeCell ref="A34:C34"/>
    <mergeCell ref="A47:C47"/>
    <mergeCell ref="A49:C49"/>
    <mergeCell ref="A54:C54"/>
    <mergeCell ref="A61:C61"/>
    <mergeCell ref="A67:C67"/>
    <mergeCell ref="A69:C69"/>
    <mergeCell ref="A53:C53"/>
    <mergeCell ref="A92:C92"/>
    <mergeCell ref="A93:C93"/>
    <mergeCell ref="A96:C96"/>
    <mergeCell ref="A98:C98"/>
    <mergeCell ref="A100:C100"/>
    <mergeCell ref="A73:C73"/>
    <mergeCell ref="A78:C78"/>
    <mergeCell ref="A81:C81"/>
    <mergeCell ref="A84:C84"/>
    <mergeCell ref="A87:C87"/>
    <mergeCell ref="A157:C157"/>
    <mergeCell ref="A123:C123"/>
    <mergeCell ref="A130:C130"/>
    <mergeCell ref="A132:C132"/>
    <mergeCell ref="A140:C140"/>
    <mergeCell ref="A143:C143"/>
    <mergeCell ref="A145:C145"/>
    <mergeCell ref="A149:C149"/>
    <mergeCell ref="A151:C151"/>
    <mergeCell ref="A155:C155"/>
    <mergeCell ref="A148:C148"/>
    <mergeCell ref="A202:C202"/>
    <mergeCell ref="A160:C160"/>
    <mergeCell ref="A163:C163"/>
    <mergeCell ref="A165:C165"/>
    <mergeCell ref="A168:C168"/>
    <mergeCell ref="A176:C176"/>
    <mergeCell ref="A179:C179"/>
    <mergeCell ref="A185:C185"/>
    <mergeCell ref="A187:C187"/>
    <mergeCell ref="A189:C189"/>
    <mergeCell ref="A194:C194"/>
    <mergeCell ref="A197:C197"/>
    <mergeCell ref="A193:C193"/>
    <mergeCell ref="A205:C205"/>
    <mergeCell ref="A208:C208"/>
    <mergeCell ref="A211:C211"/>
    <mergeCell ref="A215:C215"/>
    <mergeCell ref="A220:C22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K287"/>
  <sheetViews>
    <sheetView workbookViewId="0">
      <selection activeCell="E207" sqref="E207"/>
    </sheetView>
  </sheetViews>
  <sheetFormatPr defaultRowHeight="12.75"/>
  <cols>
    <col min="1" max="1" width="6.28515625" style="360" customWidth="1"/>
    <col min="2" max="2" width="21" style="361" customWidth="1"/>
    <col min="3" max="3" width="49.28515625" style="362" customWidth="1"/>
    <col min="4" max="4" width="10.85546875" style="390" customWidth="1"/>
    <col min="5" max="5" width="6.42578125" style="242" customWidth="1"/>
    <col min="6" max="6" width="15.7109375" style="378" customWidth="1"/>
    <col min="7" max="7" width="13.140625" style="378" customWidth="1"/>
    <col min="8" max="8" width="15.140625" style="378" customWidth="1"/>
    <col min="9" max="9" width="0" style="361" hidden="1" customWidth="1"/>
    <col min="10" max="10" width="9.140625" style="361"/>
    <col min="11" max="11" width="13.5703125" style="361" bestFit="1" customWidth="1"/>
    <col min="12" max="256" width="9.140625" style="361"/>
    <col min="257" max="257" width="15.140625" style="361" customWidth="1"/>
    <col min="258" max="258" width="46.42578125" style="361" customWidth="1"/>
    <col min="259" max="259" width="48.28515625" style="361" customWidth="1"/>
    <col min="260" max="260" width="10.7109375" style="361" customWidth="1"/>
    <col min="261" max="261" width="11.7109375" style="361" customWidth="1"/>
    <col min="262" max="262" width="12.42578125" style="361" customWidth="1"/>
    <col min="263" max="263" width="14.7109375" style="361" customWidth="1"/>
    <col min="264" max="264" width="13.85546875" style="361" customWidth="1"/>
    <col min="265" max="265" width="0" style="361" hidden="1" customWidth="1"/>
    <col min="266" max="512" width="9.140625" style="361"/>
    <col min="513" max="513" width="15.140625" style="361" customWidth="1"/>
    <col min="514" max="514" width="46.42578125" style="361" customWidth="1"/>
    <col min="515" max="515" width="48.28515625" style="361" customWidth="1"/>
    <col min="516" max="516" width="10.7109375" style="361" customWidth="1"/>
    <col min="517" max="517" width="11.7109375" style="361" customWidth="1"/>
    <col min="518" max="518" width="12.42578125" style="361" customWidth="1"/>
    <col min="519" max="519" width="14.7109375" style="361" customWidth="1"/>
    <col min="520" max="520" width="13.85546875" style="361" customWidth="1"/>
    <col min="521" max="521" width="0" style="361" hidden="1" customWidth="1"/>
    <col min="522" max="768" width="9.140625" style="361"/>
    <col min="769" max="769" width="15.140625" style="361" customWidth="1"/>
    <col min="770" max="770" width="46.42578125" style="361" customWidth="1"/>
    <col min="771" max="771" width="48.28515625" style="361" customWidth="1"/>
    <col min="772" max="772" width="10.7109375" style="361" customWidth="1"/>
    <col min="773" max="773" width="11.7109375" style="361" customWidth="1"/>
    <col min="774" max="774" width="12.42578125" style="361" customWidth="1"/>
    <col min="775" max="775" width="14.7109375" style="361" customWidth="1"/>
    <col min="776" max="776" width="13.85546875" style="361" customWidth="1"/>
    <col min="777" max="777" width="0" style="361" hidden="1" customWidth="1"/>
    <col min="778" max="1024" width="9.140625" style="361"/>
    <col min="1025" max="1025" width="15.140625" style="361" customWidth="1"/>
    <col min="1026" max="1026" width="46.42578125" style="361" customWidth="1"/>
    <col min="1027" max="1027" width="48.28515625" style="361" customWidth="1"/>
    <col min="1028" max="1028" width="10.7109375" style="361" customWidth="1"/>
    <col min="1029" max="1029" width="11.7109375" style="361" customWidth="1"/>
    <col min="1030" max="1030" width="12.42578125" style="361" customWidth="1"/>
    <col min="1031" max="1031" width="14.7109375" style="361" customWidth="1"/>
    <col min="1032" max="1032" width="13.85546875" style="361" customWidth="1"/>
    <col min="1033" max="1033" width="0" style="361" hidden="1" customWidth="1"/>
    <col min="1034" max="1280" width="9.140625" style="361"/>
    <col min="1281" max="1281" width="15.140625" style="361" customWidth="1"/>
    <col min="1282" max="1282" width="46.42578125" style="361" customWidth="1"/>
    <col min="1283" max="1283" width="48.28515625" style="361" customWidth="1"/>
    <col min="1284" max="1284" width="10.7109375" style="361" customWidth="1"/>
    <col min="1285" max="1285" width="11.7109375" style="361" customWidth="1"/>
    <col min="1286" max="1286" width="12.42578125" style="361" customWidth="1"/>
    <col min="1287" max="1287" width="14.7109375" style="361" customWidth="1"/>
    <col min="1288" max="1288" width="13.85546875" style="361" customWidth="1"/>
    <col min="1289" max="1289" width="0" style="361" hidden="1" customWidth="1"/>
    <col min="1290" max="1536" width="9.140625" style="361"/>
    <col min="1537" max="1537" width="15.140625" style="361" customWidth="1"/>
    <col min="1538" max="1538" width="46.42578125" style="361" customWidth="1"/>
    <col min="1539" max="1539" width="48.28515625" style="361" customWidth="1"/>
    <col min="1540" max="1540" width="10.7109375" style="361" customWidth="1"/>
    <col min="1541" max="1541" width="11.7109375" style="361" customWidth="1"/>
    <col min="1542" max="1542" width="12.42578125" style="361" customWidth="1"/>
    <col min="1543" max="1543" width="14.7109375" style="361" customWidth="1"/>
    <col min="1544" max="1544" width="13.85546875" style="361" customWidth="1"/>
    <col min="1545" max="1545" width="0" style="361" hidden="1" customWidth="1"/>
    <col min="1546" max="1792" width="9.140625" style="361"/>
    <col min="1793" max="1793" width="15.140625" style="361" customWidth="1"/>
    <col min="1794" max="1794" width="46.42578125" style="361" customWidth="1"/>
    <col min="1795" max="1795" width="48.28515625" style="361" customWidth="1"/>
    <col min="1796" max="1796" width="10.7109375" style="361" customWidth="1"/>
    <col min="1797" max="1797" width="11.7109375" style="361" customWidth="1"/>
    <col min="1798" max="1798" width="12.42578125" style="361" customWidth="1"/>
    <col min="1799" max="1799" width="14.7109375" style="361" customWidth="1"/>
    <col min="1800" max="1800" width="13.85546875" style="361" customWidth="1"/>
    <col min="1801" max="1801" width="0" style="361" hidden="1" customWidth="1"/>
    <col min="1802" max="2048" width="9.140625" style="361"/>
    <col min="2049" max="2049" width="15.140625" style="361" customWidth="1"/>
    <col min="2050" max="2050" width="46.42578125" style="361" customWidth="1"/>
    <col min="2051" max="2051" width="48.28515625" style="361" customWidth="1"/>
    <col min="2052" max="2052" width="10.7109375" style="361" customWidth="1"/>
    <col min="2053" max="2053" width="11.7109375" style="361" customWidth="1"/>
    <col min="2054" max="2054" width="12.42578125" style="361" customWidth="1"/>
    <col min="2055" max="2055" width="14.7109375" style="361" customWidth="1"/>
    <col min="2056" max="2056" width="13.85546875" style="361" customWidth="1"/>
    <col min="2057" max="2057" width="0" style="361" hidden="1" customWidth="1"/>
    <col min="2058" max="2304" width="9.140625" style="361"/>
    <col min="2305" max="2305" width="15.140625" style="361" customWidth="1"/>
    <col min="2306" max="2306" width="46.42578125" style="361" customWidth="1"/>
    <col min="2307" max="2307" width="48.28515625" style="361" customWidth="1"/>
    <col min="2308" max="2308" width="10.7109375" style="361" customWidth="1"/>
    <col min="2309" max="2309" width="11.7109375" style="361" customWidth="1"/>
    <col min="2310" max="2310" width="12.42578125" style="361" customWidth="1"/>
    <col min="2311" max="2311" width="14.7109375" style="361" customWidth="1"/>
    <col min="2312" max="2312" width="13.85546875" style="361" customWidth="1"/>
    <col min="2313" max="2313" width="0" style="361" hidden="1" customWidth="1"/>
    <col min="2314" max="2560" width="9.140625" style="361"/>
    <col min="2561" max="2561" width="15.140625" style="361" customWidth="1"/>
    <col min="2562" max="2562" width="46.42578125" style="361" customWidth="1"/>
    <col min="2563" max="2563" width="48.28515625" style="361" customWidth="1"/>
    <col min="2564" max="2564" width="10.7109375" style="361" customWidth="1"/>
    <col min="2565" max="2565" width="11.7109375" style="361" customWidth="1"/>
    <col min="2566" max="2566" width="12.42578125" style="361" customWidth="1"/>
    <col min="2567" max="2567" width="14.7109375" style="361" customWidth="1"/>
    <col min="2568" max="2568" width="13.85546875" style="361" customWidth="1"/>
    <col min="2569" max="2569" width="0" style="361" hidden="1" customWidth="1"/>
    <col min="2570" max="2816" width="9.140625" style="361"/>
    <col min="2817" max="2817" width="15.140625" style="361" customWidth="1"/>
    <col min="2818" max="2818" width="46.42578125" style="361" customWidth="1"/>
    <col min="2819" max="2819" width="48.28515625" style="361" customWidth="1"/>
    <col min="2820" max="2820" width="10.7109375" style="361" customWidth="1"/>
    <col min="2821" max="2821" width="11.7109375" style="361" customWidth="1"/>
    <col min="2822" max="2822" width="12.42578125" style="361" customWidth="1"/>
    <col min="2823" max="2823" width="14.7109375" style="361" customWidth="1"/>
    <col min="2824" max="2824" width="13.85546875" style="361" customWidth="1"/>
    <col min="2825" max="2825" width="0" style="361" hidden="1" customWidth="1"/>
    <col min="2826" max="3072" width="9.140625" style="361"/>
    <col min="3073" max="3073" width="15.140625" style="361" customWidth="1"/>
    <col min="3074" max="3074" width="46.42578125" style="361" customWidth="1"/>
    <col min="3075" max="3075" width="48.28515625" style="361" customWidth="1"/>
    <col min="3076" max="3076" width="10.7109375" style="361" customWidth="1"/>
    <col min="3077" max="3077" width="11.7109375" style="361" customWidth="1"/>
    <col min="3078" max="3078" width="12.42578125" style="361" customWidth="1"/>
    <col min="3079" max="3079" width="14.7109375" style="361" customWidth="1"/>
    <col min="3080" max="3080" width="13.85546875" style="361" customWidth="1"/>
    <col min="3081" max="3081" width="0" style="361" hidden="1" customWidth="1"/>
    <col min="3082" max="3328" width="9.140625" style="361"/>
    <col min="3329" max="3329" width="15.140625" style="361" customWidth="1"/>
    <col min="3330" max="3330" width="46.42578125" style="361" customWidth="1"/>
    <col min="3331" max="3331" width="48.28515625" style="361" customWidth="1"/>
    <col min="3332" max="3332" width="10.7109375" style="361" customWidth="1"/>
    <col min="3333" max="3333" width="11.7109375" style="361" customWidth="1"/>
    <col min="3334" max="3334" width="12.42578125" style="361" customWidth="1"/>
    <col min="3335" max="3335" width="14.7109375" style="361" customWidth="1"/>
    <col min="3336" max="3336" width="13.85546875" style="361" customWidth="1"/>
    <col min="3337" max="3337" width="0" style="361" hidden="1" customWidth="1"/>
    <col min="3338" max="3584" width="9.140625" style="361"/>
    <col min="3585" max="3585" width="15.140625" style="361" customWidth="1"/>
    <col min="3586" max="3586" width="46.42578125" style="361" customWidth="1"/>
    <col min="3587" max="3587" width="48.28515625" style="361" customWidth="1"/>
    <col min="3588" max="3588" width="10.7109375" style="361" customWidth="1"/>
    <col min="3589" max="3589" width="11.7109375" style="361" customWidth="1"/>
    <col min="3590" max="3590" width="12.42578125" style="361" customWidth="1"/>
    <col min="3591" max="3591" width="14.7109375" style="361" customWidth="1"/>
    <col min="3592" max="3592" width="13.85546875" style="361" customWidth="1"/>
    <col min="3593" max="3593" width="0" style="361" hidden="1" customWidth="1"/>
    <col min="3594" max="3840" width="9.140625" style="361"/>
    <col min="3841" max="3841" width="15.140625" style="361" customWidth="1"/>
    <col min="3842" max="3842" width="46.42578125" style="361" customWidth="1"/>
    <col min="3843" max="3843" width="48.28515625" style="361" customWidth="1"/>
    <col min="3844" max="3844" width="10.7109375" style="361" customWidth="1"/>
    <col min="3845" max="3845" width="11.7109375" style="361" customWidth="1"/>
    <col min="3846" max="3846" width="12.42578125" style="361" customWidth="1"/>
    <col min="3847" max="3847" width="14.7109375" style="361" customWidth="1"/>
    <col min="3848" max="3848" width="13.85546875" style="361" customWidth="1"/>
    <col min="3849" max="3849" width="0" style="361" hidden="1" customWidth="1"/>
    <col min="3850" max="4096" width="9.140625" style="361"/>
    <col min="4097" max="4097" width="15.140625" style="361" customWidth="1"/>
    <col min="4098" max="4098" width="46.42578125" style="361" customWidth="1"/>
    <col min="4099" max="4099" width="48.28515625" style="361" customWidth="1"/>
    <col min="4100" max="4100" width="10.7109375" style="361" customWidth="1"/>
    <col min="4101" max="4101" width="11.7109375" style="361" customWidth="1"/>
    <col min="4102" max="4102" width="12.42578125" style="361" customWidth="1"/>
    <col min="4103" max="4103" width="14.7109375" style="361" customWidth="1"/>
    <col min="4104" max="4104" width="13.85546875" style="361" customWidth="1"/>
    <col min="4105" max="4105" width="0" style="361" hidden="1" customWidth="1"/>
    <col min="4106" max="4352" width="9.140625" style="361"/>
    <col min="4353" max="4353" width="15.140625" style="361" customWidth="1"/>
    <col min="4354" max="4354" width="46.42578125" style="361" customWidth="1"/>
    <col min="4355" max="4355" width="48.28515625" style="361" customWidth="1"/>
    <col min="4356" max="4356" width="10.7109375" style="361" customWidth="1"/>
    <col min="4357" max="4357" width="11.7109375" style="361" customWidth="1"/>
    <col min="4358" max="4358" width="12.42578125" style="361" customWidth="1"/>
    <col min="4359" max="4359" width="14.7109375" style="361" customWidth="1"/>
    <col min="4360" max="4360" width="13.85546875" style="361" customWidth="1"/>
    <col min="4361" max="4361" width="0" style="361" hidden="1" customWidth="1"/>
    <col min="4362" max="4608" width="9.140625" style="361"/>
    <col min="4609" max="4609" width="15.140625" style="361" customWidth="1"/>
    <col min="4610" max="4610" width="46.42578125" style="361" customWidth="1"/>
    <col min="4611" max="4611" width="48.28515625" style="361" customWidth="1"/>
    <col min="4612" max="4612" width="10.7109375" style="361" customWidth="1"/>
    <col min="4613" max="4613" width="11.7109375" style="361" customWidth="1"/>
    <col min="4614" max="4614" width="12.42578125" style="361" customWidth="1"/>
    <col min="4615" max="4615" width="14.7109375" style="361" customWidth="1"/>
    <col min="4616" max="4616" width="13.85546875" style="361" customWidth="1"/>
    <col min="4617" max="4617" width="0" style="361" hidden="1" customWidth="1"/>
    <col min="4618" max="4864" width="9.140625" style="361"/>
    <col min="4865" max="4865" width="15.140625" style="361" customWidth="1"/>
    <col min="4866" max="4866" width="46.42578125" style="361" customWidth="1"/>
    <col min="4867" max="4867" width="48.28515625" style="361" customWidth="1"/>
    <col min="4868" max="4868" width="10.7109375" style="361" customWidth="1"/>
    <col min="4869" max="4869" width="11.7109375" style="361" customWidth="1"/>
    <col min="4870" max="4870" width="12.42578125" style="361" customWidth="1"/>
    <col min="4871" max="4871" width="14.7109375" style="361" customWidth="1"/>
    <col min="4872" max="4872" width="13.85546875" style="361" customWidth="1"/>
    <col min="4873" max="4873" width="0" style="361" hidden="1" customWidth="1"/>
    <col min="4874" max="5120" width="9.140625" style="361"/>
    <col min="5121" max="5121" width="15.140625" style="361" customWidth="1"/>
    <col min="5122" max="5122" width="46.42578125" style="361" customWidth="1"/>
    <col min="5123" max="5123" width="48.28515625" style="361" customWidth="1"/>
    <col min="5124" max="5124" width="10.7109375" style="361" customWidth="1"/>
    <col min="5125" max="5125" width="11.7109375" style="361" customWidth="1"/>
    <col min="5126" max="5126" width="12.42578125" style="361" customWidth="1"/>
    <col min="5127" max="5127" width="14.7109375" style="361" customWidth="1"/>
    <col min="5128" max="5128" width="13.85546875" style="361" customWidth="1"/>
    <col min="5129" max="5129" width="0" style="361" hidden="1" customWidth="1"/>
    <col min="5130" max="5376" width="9.140625" style="361"/>
    <col min="5377" max="5377" width="15.140625" style="361" customWidth="1"/>
    <col min="5378" max="5378" width="46.42578125" style="361" customWidth="1"/>
    <col min="5379" max="5379" width="48.28515625" style="361" customWidth="1"/>
    <col min="5380" max="5380" width="10.7109375" style="361" customWidth="1"/>
    <col min="5381" max="5381" width="11.7109375" style="361" customWidth="1"/>
    <col min="5382" max="5382" width="12.42578125" style="361" customWidth="1"/>
    <col min="5383" max="5383" width="14.7109375" style="361" customWidth="1"/>
    <col min="5384" max="5384" width="13.85546875" style="361" customWidth="1"/>
    <col min="5385" max="5385" width="0" style="361" hidden="1" customWidth="1"/>
    <col min="5386" max="5632" width="9.140625" style="361"/>
    <col min="5633" max="5633" width="15.140625" style="361" customWidth="1"/>
    <col min="5634" max="5634" width="46.42578125" style="361" customWidth="1"/>
    <col min="5635" max="5635" width="48.28515625" style="361" customWidth="1"/>
    <col min="5636" max="5636" width="10.7109375" style="361" customWidth="1"/>
    <col min="5637" max="5637" width="11.7109375" style="361" customWidth="1"/>
    <col min="5638" max="5638" width="12.42578125" style="361" customWidth="1"/>
    <col min="5639" max="5639" width="14.7109375" style="361" customWidth="1"/>
    <col min="5640" max="5640" width="13.85546875" style="361" customWidth="1"/>
    <col min="5641" max="5641" width="0" style="361" hidden="1" customWidth="1"/>
    <col min="5642" max="5888" width="9.140625" style="361"/>
    <col min="5889" max="5889" width="15.140625" style="361" customWidth="1"/>
    <col min="5890" max="5890" width="46.42578125" style="361" customWidth="1"/>
    <col min="5891" max="5891" width="48.28515625" style="361" customWidth="1"/>
    <col min="5892" max="5892" width="10.7109375" style="361" customWidth="1"/>
    <col min="5893" max="5893" width="11.7109375" style="361" customWidth="1"/>
    <col min="5894" max="5894" width="12.42578125" style="361" customWidth="1"/>
    <col min="5895" max="5895" width="14.7109375" style="361" customWidth="1"/>
    <col min="5896" max="5896" width="13.85546875" style="361" customWidth="1"/>
    <col min="5897" max="5897" width="0" style="361" hidden="1" customWidth="1"/>
    <col min="5898" max="6144" width="9.140625" style="361"/>
    <col min="6145" max="6145" width="15.140625" style="361" customWidth="1"/>
    <col min="6146" max="6146" width="46.42578125" style="361" customWidth="1"/>
    <col min="6147" max="6147" width="48.28515625" style="361" customWidth="1"/>
    <col min="6148" max="6148" width="10.7109375" style="361" customWidth="1"/>
    <col min="6149" max="6149" width="11.7109375" style="361" customWidth="1"/>
    <col min="6150" max="6150" width="12.42578125" style="361" customWidth="1"/>
    <col min="6151" max="6151" width="14.7109375" style="361" customWidth="1"/>
    <col min="6152" max="6152" width="13.85546875" style="361" customWidth="1"/>
    <col min="6153" max="6153" width="0" style="361" hidden="1" customWidth="1"/>
    <col min="6154" max="6400" width="9.140625" style="361"/>
    <col min="6401" max="6401" width="15.140625" style="361" customWidth="1"/>
    <col min="6402" max="6402" width="46.42578125" style="361" customWidth="1"/>
    <col min="6403" max="6403" width="48.28515625" style="361" customWidth="1"/>
    <col min="6404" max="6404" width="10.7109375" style="361" customWidth="1"/>
    <col min="6405" max="6405" width="11.7109375" style="361" customWidth="1"/>
    <col min="6406" max="6406" width="12.42578125" style="361" customWidth="1"/>
    <col min="6407" max="6407" width="14.7109375" style="361" customWidth="1"/>
    <col min="6408" max="6408" width="13.85546875" style="361" customWidth="1"/>
    <col min="6409" max="6409" width="0" style="361" hidden="1" customWidth="1"/>
    <col min="6410" max="6656" width="9.140625" style="361"/>
    <col min="6657" max="6657" width="15.140625" style="361" customWidth="1"/>
    <col min="6658" max="6658" width="46.42578125" style="361" customWidth="1"/>
    <col min="6659" max="6659" width="48.28515625" style="361" customWidth="1"/>
    <col min="6660" max="6660" width="10.7109375" style="361" customWidth="1"/>
    <col min="6661" max="6661" width="11.7109375" style="361" customWidth="1"/>
    <col min="6662" max="6662" width="12.42578125" style="361" customWidth="1"/>
    <col min="6663" max="6663" width="14.7109375" style="361" customWidth="1"/>
    <col min="6664" max="6664" width="13.85546875" style="361" customWidth="1"/>
    <col min="6665" max="6665" width="0" style="361" hidden="1" customWidth="1"/>
    <col min="6666" max="6912" width="9.140625" style="361"/>
    <col min="6913" max="6913" width="15.140625" style="361" customWidth="1"/>
    <col min="6914" max="6914" width="46.42578125" style="361" customWidth="1"/>
    <col min="6915" max="6915" width="48.28515625" style="361" customWidth="1"/>
    <col min="6916" max="6916" width="10.7109375" style="361" customWidth="1"/>
    <col min="6917" max="6917" width="11.7109375" style="361" customWidth="1"/>
    <col min="6918" max="6918" width="12.42578125" style="361" customWidth="1"/>
    <col min="6919" max="6919" width="14.7109375" style="361" customWidth="1"/>
    <col min="6920" max="6920" width="13.85546875" style="361" customWidth="1"/>
    <col min="6921" max="6921" width="0" style="361" hidden="1" customWidth="1"/>
    <col min="6922" max="7168" width="9.140625" style="361"/>
    <col min="7169" max="7169" width="15.140625" style="361" customWidth="1"/>
    <col min="7170" max="7170" width="46.42578125" style="361" customWidth="1"/>
    <col min="7171" max="7171" width="48.28515625" style="361" customWidth="1"/>
    <col min="7172" max="7172" width="10.7109375" style="361" customWidth="1"/>
    <col min="7173" max="7173" width="11.7109375" style="361" customWidth="1"/>
    <col min="7174" max="7174" width="12.42578125" style="361" customWidth="1"/>
    <col min="7175" max="7175" width="14.7109375" style="361" customWidth="1"/>
    <col min="7176" max="7176" width="13.85546875" style="361" customWidth="1"/>
    <col min="7177" max="7177" width="0" style="361" hidden="1" customWidth="1"/>
    <col min="7178" max="7424" width="9.140625" style="361"/>
    <col min="7425" max="7425" width="15.140625" style="361" customWidth="1"/>
    <col min="7426" max="7426" width="46.42578125" style="361" customWidth="1"/>
    <col min="7427" max="7427" width="48.28515625" style="361" customWidth="1"/>
    <col min="7428" max="7428" width="10.7109375" style="361" customWidth="1"/>
    <col min="7429" max="7429" width="11.7109375" style="361" customWidth="1"/>
    <col min="7430" max="7430" width="12.42578125" style="361" customWidth="1"/>
    <col min="7431" max="7431" width="14.7109375" style="361" customWidth="1"/>
    <col min="7432" max="7432" width="13.85546875" style="361" customWidth="1"/>
    <col min="7433" max="7433" width="0" style="361" hidden="1" customWidth="1"/>
    <col min="7434" max="7680" width="9.140625" style="361"/>
    <col min="7681" max="7681" width="15.140625" style="361" customWidth="1"/>
    <col min="7682" max="7682" width="46.42578125" style="361" customWidth="1"/>
    <col min="7683" max="7683" width="48.28515625" style="361" customWidth="1"/>
    <col min="7684" max="7684" width="10.7109375" style="361" customWidth="1"/>
    <col min="7685" max="7685" width="11.7109375" style="361" customWidth="1"/>
    <col min="7686" max="7686" width="12.42578125" style="361" customWidth="1"/>
    <col min="7687" max="7687" width="14.7109375" style="361" customWidth="1"/>
    <col min="7688" max="7688" width="13.85546875" style="361" customWidth="1"/>
    <col min="7689" max="7689" width="0" style="361" hidden="1" customWidth="1"/>
    <col min="7690" max="7936" width="9.140625" style="361"/>
    <col min="7937" max="7937" width="15.140625" style="361" customWidth="1"/>
    <col min="7938" max="7938" width="46.42578125" style="361" customWidth="1"/>
    <col min="7939" max="7939" width="48.28515625" style="361" customWidth="1"/>
    <col min="7940" max="7940" width="10.7109375" style="361" customWidth="1"/>
    <col min="7941" max="7941" width="11.7109375" style="361" customWidth="1"/>
    <col min="7942" max="7942" width="12.42578125" style="361" customWidth="1"/>
    <col min="7943" max="7943" width="14.7109375" style="361" customWidth="1"/>
    <col min="7944" max="7944" width="13.85546875" style="361" customWidth="1"/>
    <col min="7945" max="7945" width="0" style="361" hidden="1" customWidth="1"/>
    <col min="7946" max="8192" width="9.140625" style="361"/>
    <col min="8193" max="8193" width="15.140625" style="361" customWidth="1"/>
    <col min="8194" max="8194" width="46.42578125" style="361" customWidth="1"/>
    <col min="8195" max="8195" width="48.28515625" style="361" customWidth="1"/>
    <col min="8196" max="8196" width="10.7109375" style="361" customWidth="1"/>
    <col min="8197" max="8197" width="11.7109375" style="361" customWidth="1"/>
    <col min="8198" max="8198" width="12.42578125" style="361" customWidth="1"/>
    <col min="8199" max="8199" width="14.7109375" style="361" customWidth="1"/>
    <col min="8200" max="8200" width="13.85546875" style="361" customWidth="1"/>
    <col min="8201" max="8201" width="0" style="361" hidden="1" customWidth="1"/>
    <col min="8202" max="8448" width="9.140625" style="361"/>
    <col min="8449" max="8449" width="15.140625" style="361" customWidth="1"/>
    <col min="8450" max="8450" width="46.42578125" style="361" customWidth="1"/>
    <col min="8451" max="8451" width="48.28515625" style="361" customWidth="1"/>
    <col min="8452" max="8452" width="10.7109375" style="361" customWidth="1"/>
    <col min="8453" max="8453" width="11.7109375" style="361" customWidth="1"/>
    <col min="8454" max="8454" width="12.42578125" style="361" customWidth="1"/>
    <col min="8455" max="8455" width="14.7109375" style="361" customWidth="1"/>
    <col min="8456" max="8456" width="13.85546875" style="361" customWidth="1"/>
    <col min="8457" max="8457" width="0" style="361" hidden="1" customWidth="1"/>
    <col min="8458" max="8704" width="9.140625" style="361"/>
    <col min="8705" max="8705" width="15.140625" style="361" customWidth="1"/>
    <col min="8706" max="8706" width="46.42578125" style="361" customWidth="1"/>
    <col min="8707" max="8707" width="48.28515625" style="361" customWidth="1"/>
    <col min="8708" max="8708" width="10.7109375" style="361" customWidth="1"/>
    <col min="8709" max="8709" width="11.7109375" style="361" customWidth="1"/>
    <col min="8710" max="8710" width="12.42578125" style="361" customWidth="1"/>
    <col min="8711" max="8711" width="14.7109375" style="361" customWidth="1"/>
    <col min="8712" max="8712" width="13.85546875" style="361" customWidth="1"/>
    <col min="8713" max="8713" width="0" style="361" hidden="1" customWidth="1"/>
    <col min="8714" max="8960" width="9.140625" style="361"/>
    <col min="8961" max="8961" width="15.140625" style="361" customWidth="1"/>
    <col min="8962" max="8962" width="46.42578125" style="361" customWidth="1"/>
    <col min="8963" max="8963" width="48.28515625" style="361" customWidth="1"/>
    <col min="8964" max="8964" width="10.7109375" style="361" customWidth="1"/>
    <col min="8965" max="8965" width="11.7109375" style="361" customWidth="1"/>
    <col min="8966" max="8966" width="12.42578125" style="361" customWidth="1"/>
    <col min="8967" max="8967" width="14.7109375" style="361" customWidth="1"/>
    <col min="8968" max="8968" width="13.85546875" style="361" customWidth="1"/>
    <col min="8969" max="8969" width="0" style="361" hidden="1" customWidth="1"/>
    <col min="8970" max="9216" width="9.140625" style="361"/>
    <col min="9217" max="9217" width="15.140625" style="361" customWidth="1"/>
    <col min="9218" max="9218" width="46.42578125" style="361" customWidth="1"/>
    <col min="9219" max="9219" width="48.28515625" style="361" customWidth="1"/>
    <col min="9220" max="9220" width="10.7109375" style="361" customWidth="1"/>
    <col min="9221" max="9221" width="11.7109375" style="361" customWidth="1"/>
    <col min="9222" max="9222" width="12.42578125" style="361" customWidth="1"/>
    <col min="9223" max="9223" width="14.7109375" style="361" customWidth="1"/>
    <col min="9224" max="9224" width="13.85546875" style="361" customWidth="1"/>
    <col min="9225" max="9225" width="0" style="361" hidden="1" customWidth="1"/>
    <col min="9226" max="9472" width="9.140625" style="361"/>
    <col min="9473" max="9473" width="15.140625" style="361" customWidth="1"/>
    <col min="9474" max="9474" width="46.42578125" style="361" customWidth="1"/>
    <col min="9475" max="9475" width="48.28515625" style="361" customWidth="1"/>
    <col min="9476" max="9476" width="10.7109375" style="361" customWidth="1"/>
    <col min="9477" max="9477" width="11.7109375" style="361" customWidth="1"/>
    <col min="9478" max="9478" width="12.42578125" style="361" customWidth="1"/>
    <col min="9479" max="9479" width="14.7109375" style="361" customWidth="1"/>
    <col min="9480" max="9480" width="13.85546875" style="361" customWidth="1"/>
    <col min="9481" max="9481" width="0" style="361" hidden="1" customWidth="1"/>
    <col min="9482" max="9728" width="9.140625" style="361"/>
    <col min="9729" max="9729" width="15.140625" style="361" customWidth="1"/>
    <col min="9730" max="9730" width="46.42578125" style="361" customWidth="1"/>
    <col min="9731" max="9731" width="48.28515625" style="361" customWidth="1"/>
    <col min="9732" max="9732" width="10.7109375" style="361" customWidth="1"/>
    <col min="9733" max="9733" width="11.7109375" style="361" customWidth="1"/>
    <col min="9734" max="9734" width="12.42578125" style="361" customWidth="1"/>
    <col min="9735" max="9735" width="14.7109375" style="361" customWidth="1"/>
    <col min="9736" max="9736" width="13.85546875" style="361" customWidth="1"/>
    <col min="9737" max="9737" width="0" style="361" hidden="1" customWidth="1"/>
    <col min="9738" max="9984" width="9.140625" style="361"/>
    <col min="9985" max="9985" width="15.140625" style="361" customWidth="1"/>
    <col min="9986" max="9986" width="46.42578125" style="361" customWidth="1"/>
    <col min="9987" max="9987" width="48.28515625" style="361" customWidth="1"/>
    <col min="9988" max="9988" width="10.7109375" style="361" customWidth="1"/>
    <col min="9989" max="9989" width="11.7109375" style="361" customWidth="1"/>
    <col min="9990" max="9990" width="12.42578125" style="361" customWidth="1"/>
    <col min="9991" max="9991" width="14.7109375" style="361" customWidth="1"/>
    <col min="9992" max="9992" width="13.85546875" style="361" customWidth="1"/>
    <col min="9993" max="9993" width="0" style="361" hidden="1" customWidth="1"/>
    <col min="9994" max="10240" width="9.140625" style="361"/>
    <col min="10241" max="10241" width="15.140625" style="361" customWidth="1"/>
    <col min="10242" max="10242" width="46.42578125" style="361" customWidth="1"/>
    <col min="10243" max="10243" width="48.28515625" style="361" customWidth="1"/>
    <col min="10244" max="10244" width="10.7109375" style="361" customWidth="1"/>
    <col min="10245" max="10245" width="11.7109375" style="361" customWidth="1"/>
    <col min="10246" max="10246" width="12.42578125" style="361" customWidth="1"/>
    <col min="10247" max="10247" width="14.7109375" style="361" customWidth="1"/>
    <col min="10248" max="10248" width="13.85546875" style="361" customWidth="1"/>
    <col min="10249" max="10249" width="0" style="361" hidden="1" customWidth="1"/>
    <col min="10250" max="10496" width="9.140625" style="361"/>
    <col min="10497" max="10497" width="15.140625" style="361" customWidth="1"/>
    <col min="10498" max="10498" width="46.42578125" style="361" customWidth="1"/>
    <col min="10499" max="10499" width="48.28515625" style="361" customWidth="1"/>
    <col min="10500" max="10500" width="10.7109375" style="361" customWidth="1"/>
    <col min="10501" max="10501" width="11.7109375" style="361" customWidth="1"/>
    <col min="10502" max="10502" width="12.42578125" style="361" customWidth="1"/>
    <col min="10503" max="10503" width="14.7109375" style="361" customWidth="1"/>
    <col min="10504" max="10504" width="13.85546875" style="361" customWidth="1"/>
    <col min="10505" max="10505" width="0" style="361" hidden="1" customWidth="1"/>
    <col min="10506" max="10752" width="9.140625" style="361"/>
    <col min="10753" max="10753" width="15.140625" style="361" customWidth="1"/>
    <col min="10754" max="10754" width="46.42578125" style="361" customWidth="1"/>
    <col min="10755" max="10755" width="48.28515625" style="361" customWidth="1"/>
    <col min="10756" max="10756" width="10.7109375" style="361" customWidth="1"/>
    <col min="10757" max="10757" width="11.7109375" style="361" customWidth="1"/>
    <col min="10758" max="10758" width="12.42578125" style="361" customWidth="1"/>
    <col min="10759" max="10759" width="14.7109375" style="361" customWidth="1"/>
    <col min="10760" max="10760" width="13.85546875" style="361" customWidth="1"/>
    <col min="10761" max="10761" width="0" style="361" hidden="1" customWidth="1"/>
    <col min="10762" max="11008" width="9.140625" style="361"/>
    <col min="11009" max="11009" width="15.140625" style="361" customWidth="1"/>
    <col min="11010" max="11010" width="46.42578125" style="361" customWidth="1"/>
    <col min="11011" max="11011" width="48.28515625" style="361" customWidth="1"/>
    <col min="11012" max="11012" width="10.7109375" style="361" customWidth="1"/>
    <col min="11013" max="11013" width="11.7109375" style="361" customWidth="1"/>
    <col min="11014" max="11014" width="12.42578125" style="361" customWidth="1"/>
    <col min="11015" max="11015" width="14.7109375" style="361" customWidth="1"/>
    <col min="11016" max="11016" width="13.85546875" style="361" customWidth="1"/>
    <col min="11017" max="11017" width="0" style="361" hidden="1" customWidth="1"/>
    <col min="11018" max="11264" width="9.140625" style="361"/>
    <col min="11265" max="11265" width="15.140625" style="361" customWidth="1"/>
    <col min="11266" max="11266" width="46.42578125" style="361" customWidth="1"/>
    <col min="11267" max="11267" width="48.28515625" style="361" customWidth="1"/>
    <col min="11268" max="11268" width="10.7109375" style="361" customWidth="1"/>
    <col min="11269" max="11269" width="11.7109375" style="361" customWidth="1"/>
    <col min="11270" max="11270" width="12.42578125" style="361" customWidth="1"/>
    <col min="11271" max="11271" width="14.7109375" style="361" customWidth="1"/>
    <col min="11272" max="11272" width="13.85546875" style="361" customWidth="1"/>
    <col min="11273" max="11273" width="0" style="361" hidden="1" customWidth="1"/>
    <col min="11274" max="11520" width="9.140625" style="361"/>
    <col min="11521" max="11521" width="15.140625" style="361" customWidth="1"/>
    <col min="11522" max="11522" width="46.42578125" style="361" customWidth="1"/>
    <col min="11523" max="11523" width="48.28515625" style="361" customWidth="1"/>
    <col min="11524" max="11524" width="10.7109375" style="361" customWidth="1"/>
    <col min="11525" max="11525" width="11.7109375" style="361" customWidth="1"/>
    <col min="11526" max="11526" width="12.42578125" style="361" customWidth="1"/>
    <col min="11527" max="11527" width="14.7109375" style="361" customWidth="1"/>
    <col min="11528" max="11528" width="13.85546875" style="361" customWidth="1"/>
    <col min="11529" max="11529" width="0" style="361" hidden="1" customWidth="1"/>
    <col min="11530" max="11776" width="9.140625" style="361"/>
    <col min="11777" max="11777" width="15.140625" style="361" customWidth="1"/>
    <col min="11778" max="11778" width="46.42578125" style="361" customWidth="1"/>
    <col min="11779" max="11779" width="48.28515625" style="361" customWidth="1"/>
    <col min="11780" max="11780" width="10.7109375" style="361" customWidth="1"/>
    <col min="11781" max="11781" width="11.7109375" style="361" customWidth="1"/>
    <col min="11782" max="11782" width="12.42578125" style="361" customWidth="1"/>
    <col min="11783" max="11783" width="14.7109375" style="361" customWidth="1"/>
    <col min="11784" max="11784" width="13.85546875" style="361" customWidth="1"/>
    <col min="11785" max="11785" width="0" style="361" hidden="1" customWidth="1"/>
    <col min="11786" max="12032" width="9.140625" style="361"/>
    <col min="12033" max="12033" width="15.140625" style="361" customWidth="1"/>
    <col min="12034" max="12034" width="46.42578125" style="361" customWidth="1"/>
    <col min="12035" max="12035" width="48.28515625" style="361" customWidth="1"/>
    <col min="12036" max="12036" width="10.7109375" style="361" customWidth="1"/>
    <col min="12037" max="12037" width="11.7109375" style="361" customWidth="1"/>
    <col min="12038" max="12038" width="12.42578125" style="361" customWidth="1"/>
    <col min="12039" max="12039" width="14.7109375" style="361" customWidth="1"/>
    <col min="12040" max="12040" width="13.85546875" style="361" customWidth="1"/>
    <col min="12041" max="12041" width="0" style="361" hidden="1" customWidth="1"/>
    <col min="12042" max="12288" width="9.140625" style="361"/>
    <col min="12289" max="12289" width="15.140625" style="361" customWidth="1"/>
    <col min="12290" max="12290" width="46.42578125" style="361" customWidth="1"/>
    <col min="12291" max="12291" width="48.28515625" style="361" customWidth="1"/>
    <col min="12292" max="12292" width="10.7109375" style="361" customWidth="1"/>
    <col min="12293" max="12293" width="11.7109375" style="361" customWidth="1"/>
    <col min="12294" max="12294" width="12.42578125" style="361" customWidth="1"/>
    <col min="12295" max="12295" width="14.7109375" style="361" customWidth="1"/>
    <col min="12296" max="12296" width="13.85546875" style="361" customWidth="1"/>
    <col min="12297" max="12297" width="0" style="361" hidden="1" customWidth="1"/>
    <col min="12298" max="12544" width="9.140625" style="361"/>
    <col min="12545" max="12545" width="15.140625" style="361" customWidth="1"/>
    <col min="12546" max="12546" width="46.42578125" style="361" customWidth="1"/>
    <col min="12547" max="12547" width="48.28515625" style="361" customWidth="1"/>
    <col min="12548" max="12548" width="10.7109375" style="361" customWidth="1"/>
    <col min="12549" max="12549" width="11.7109375" style="361" customWidth="1"/>
    <col min="12550" max="12550" width="12.42578125" style="361" customWidth="1"/>
    <col min="12551" max="12551" width="14.7109375" style="361" customWidth="1"/>
    <col min="12552" max="12552" width="13.85546875" style="361" customWidth="1"/>
    <col min="12553" max="12553" width="0" style="361" hidden="1" customWidth="1"/>
    <col min="12554" max="12800" width="9.140625" style="361"/>
    <col min="12801" max="12801" width="15.140625" style="361" customWidth="1"/>
    <col min="12802" max="12802" width="46.42578125" style="361" customWidth="1"/>
    <col min="12803" max="12803" width="48.28515625" style="361" customWidth="1"/>
    <col min="12804" max="12804" width="10.7109375" style="361" customWidth="1"/>
    <col min="12805" max="12805" width="11.7109375" style="361" customWidth="1"/>
    <col min="12806" max="12806" width="12.42578125" style="361" customWidth="1"/>
    <col min="12807" max="12807" width="14.7109375" style="361" customWidth="1"/>
    <col min="12808" max="12808" width="13.85546875" style="361" customWidth="1"/>
    <col min="12809" max="12809" width="0" style="361" hidden="1" customWidth="1"/>
    <col min="12810" max="13056" width="9.140625" style="361"/>
    <col min="13057" max="13057" width="15.140625" style="361" customWidth="1"/>
    <col min="13058" max="13058" width="46.42578125" style="361" customWidth="1"/>
    <col min="13059" max="13059" width="48.28515625" style="361" customWidth="1"/>
    <col min="13060" max="13060" width="10.7109375" style="361" customWidth="1"/>
    <col min="13061" max="13061" width="11.7109375" style="361" customWidth="1"/>
    <col min="13062" max="13062" width="12.42578125" style="361" customWidth="1"/>
    <col min="13063" max="13063" width="14.7109375" style="361" customWidth="1"/>
    <col min="13064" max="13064" width="13.85546875" style="361" customWidth="1"/>
    <col min="13065" max="13065" width="0" style="361" hidden="1" customWidth="1"/>
    <col min="13066" max="13312" width="9.140625" style="361"/>
    <col min="13313" max="13313" width="15.140625" style="361" customWidth="1"/>
    <col min="13314" max="13314" width="46.42578125" style="361" customWidth="1"/>
    <col min="13315" max="13315" width="48.28515625" style="361" customWidth="1"/>
    <col min="13316" max="13316" width="10.7109375" style="361" customWidth="1"/>
    <col min="13317" max="13317" width="11.7109375" style="361" customWidth="1"/>
    <col min="13318" max="13318" width="12.42578125" style="361" customWidth="1"/>
    <col min="13319" max="13319" width="14.7109375" style="361" customWidth="1"/>
    <col min="13320" max="13320" width="13.85546875" style="361" customWidth="1"/>
    <col min="13321" max="13321" width="0" style="361" hidden="1" customWidth="1"/>
    <col min="13322" max="13568" width="9.140625" style="361"/>
    <col min="13569" max="13569" width="15.140625" style="361" customWidth="1"/>
    <col min="13570" max="13570" width="46.42578125" style="361" customWidth="1"/>
    <col min="13571" max="13571" width="48.28515625" style="361" customWidth="1"/>
    <col min="13572" max="13572" width="10.7109375" style="361" customWidth="1"/>
    <col min="13573" max="13573" width="11.7109375" style="361" customWidth="1"/>
    <col min="13574" max="13574" width="12.42578125" style="361" customWidth="1"/>
    <col min="13575" max="13575" width="14.7109375" style="361" customWidth="1"/>
    <col min="13576" max="13576" width="13.85546875" style="361" customWidth="1"/>
    <col min="13577" max="13577" width="0" style="361" hidden="1" customWidth="1"/>
    <col min="13578" max="13824" width="9.140625" style="361"/>
    <col min="13825" max="13825" width="15.140625" style="361" customWidth="1"/>
    <col min="13826" max="13826" width="46.42578125" style="361" customWidth="1"/>
    <col min="13827" max="13827" width="48.28515625" style="361" customWidth="1"/>
    <col min="13828" max="13828" width="10.7109375" style="361" customWidth="1"/>
    <col min="13829" max="13829" width="11.7109375" style="361" customWidth="1"/>
    <col min="13830" max="13830" width="12.42578125" style="361" customWidth="1"/>
    <col min="13831" max="13831" width="14.7109375" style="361" customWidth="1"/>
    <col min="13832" max="13832" width="13.85546875" style="361" customWidth="1"/>
    <col min="13833" max="13833" width="0" style="361" hidden="1" customWidth="1"/>
    <col min="13834" max="14080" width="9.140625" style="361"/>
    <col min="14081" max="14081" width="15.140625" style="361" customWidth="1"/>
    <col min="14082" max="14082" width="46.42578125" style="361" customWidth="1"/>
    <col min="14083" max="14083" width="48.28515625" style="361" customWidth="1"/>
    <col min="14084" max="14084" width="10.7109375" style="361" customWidth="1"/>
    <col min="14085" max="14085" width="11.7109375" style="361" customWidth="1"/>
    <col min="14086" max="14086" width="12.42578125" style="361" customWidth="1"/>
    <col min="14087" max="14087" width="14.7109375" style="361" customWidth="1"/>
    <col min="14088" max="14088" width="13.85546875" style="361" customWidth="1"/>
    <col min="14089" max="14089" width="0" style="361" hidden="1" customWidth="1"/>
    <col min="14090" max="14336" width="9.140625" style="361"/>
    <col min="14337" max="14337" width="15.140625" style="361" customWidth="1"/>
    <col min="14338" max="14338" width="46.42578125" style="361" customWidth="1"/>
    <col min="14339" max="14339" width="48.28515625" style="361" customWidth="1"/>
    <col min="14340" max="14340" width="10.7109375" style="361" customWidth="1"/>
    <col min="14341" max="14341" width="11.7109375" style="361" customWidth="1"/>
    <col min="14342" max="14342" width="12.42578125" style="361" customWidth="1"/>
    <col min="14343" max="14343" width="14.7109375" style="361" customWidth="1"/>
    <col min="14344" max="14344" width="13.85546875" style="361" customWidth="1"/>
    <col min="14345" max="14345" width="0" style="361" hidden="1" customWidth="1"/>
    <col min="14346" max="14592" width="9.140625" style="361"/>
    <col min="14593" max="14593" width="15.140625" style="361" customWidth="1"/>
    <col min="14594" max="14594" width="46.42578125" style="361" customWidth="1"/>
    <col min="14595" max="14595" width="48.28515625" style="361" customWidth="1"/>
    <col min="14596" max="14596" width="10.7109375" style="361" customWidth="1"/>
    <col min="14597" max="14597" width="11.7109375" style="361" customWidth="1"/>
    <col min="14598" max="14598" width="12.42578125" style="361" customWidth="1"/>
    <col min="14599" max="14599" width="14.7109375" style="361" customWidth="1"/>
    <col min="14600" max="14600" width="13.85546875" style="361" customWidth="1"/>
    <col min="14601" max="14601" width="0" style="361" hidden="1" customWidth="1"/>
    <col min="14602" max="14848" width="9.140625" style="361"/>
    <col min="14849" max="14849" width="15.140625" style="361" customWidth="1"/>
    <col min="14850" max="14850" width="46.42578125" style="361" customWidth="1"/>
    <col min="14851" max="14851" width="48.28515625" style="361" customWidth="1"/>
    <col min="14852" max="14852" width="10.7109375" style="361" customWidth="1"/>
    <col min="14853" max="14853" width="11.7109375" style="361" customWidth="1"/>
    <col min="14854" max="14854" width="12.42578125" style="361" customWidth="1"/>
    <col min="14855" max="14855" width="14.7109375" style="361" customWidth="1"/>
    <col min="14856" max="14856" width="13.85546875" style="361" customWidth="1"/>
    <col min="14857" max="14857" width="0" style="361" hidden="1" customWidth="1"/>
    <col min="14858" max="15104" width="9.140625" style="361"/>
    <col min="15105" max="15105" width="15.140625" style="361" customWidth="1"/>
    <col min="15106" max="15106" width="46.42578125" style="361" customWidth="1"/>
    <col min="15107" max="15107" width="48.28515625" style="361" customWidth="1"/>
    <col min="15108" max="15108" width="10.7109375" style="361" customWidth="1"/>
    <col min="15109" max="15109" width="11.7109375" style="361" customWidth="1"/>
    <col min="15110" max="15110" width="12.42578125" style="361" customWidth="1"/>
    <col min="15111" max="15111" width="14.7109375" style="361" customWidth="1"/>
    <col min="15112" max="15112" width="13.85546875" style="361" customWidth="1"/>
    <col min="15113" max="15113" width="0" style="361" hidden="1" customWidth="1"/>
    <col min="15114" max="15360" width="9.140625" style="361"/>
    <col min="15361" max="15361" width="15.140625" style="361" customWidth="1"/>
    <col min="15362" max="15362" width="46.42578125" style="361" customWidth="1"/>
    <col min="15363" max="15363" width="48.28515625" style="361" customWidth="1"/>
    <col min="15364" max="15364" width="10.7109375" style="361" customWidth="1"/>
    <col min="15365" max="15365" width="11.7109375" style="361" customWidth="1"/>
    <col min="15366" max="15366" width="12.42578125" style="361" customWidth="1"/>
    <col min="15367" max="15367" width="14.7109375" style="361" customWidth="1"/>
    <col min="15368" max="15368" width="13.85546875" style="361" customWidth="1"/>
    <col min="15369" max="15369" width="0" style="361" hidden="1" customWidth="1"/>
    <col min="15370" max="15616" width="9.140625" style="361"/>
    <col min="15617" max="15617" width="15.140625" style="361" customWidth="1"/>
    <col min="15618" max="15618" width="46.42578125" style="361" customWidth="1"/>
    <col min="15619" max="15619" width="48.28515625" style="361" customWidth="1"/>
    <col min="15620" max="15620" width="10.7109375" style="361" customWidth="1"/>
    <col min="15621" max="15621" width="11.7109375" style="361" customWidth="1"/>
    <col min="15622" max="15622" width="12.42578125" style="361" customWidth="1"/>
    <col min="15623" max="15623" width="14.7109375" style="361" customWidth="1"/>
    <col min="15624" max="15624" width="13.85546875" style="361" customWidth="1"/>
    <col min="15625" max="15625" width="0" style="361" hidden="1" customWidth="1"/>
    <col min="15626" max="15872" width="9.140625" style="361"/>
    <col min="15873" max="15873" width="15.140625" style="361" customWidth="1"/>
    <col min="15874" max="15874" width="46.42578125" style="361" customWidth="1"/>
    <col min="15875" max="15875" width="48.28515625" style="361" customWidth="1"/>
    <col min="15876" max="15876" width="10.7109375" style="361" customWidth="1"/>
    <col min="15877" max="15877" width="11.7109375" style="361" customWidth="1"/>
    <col min="15878" max="15878" width="12.42578125" style="361" customWidth="1"/>
    <col min="15879" max="15879" width="14.7109375" style="361" customWidth="1"/>
    <col min="15880" max="15880" width="13.85546875" style="361" customWidth="1"/>
    <col min="15881" max="15881" width="0" style="361" hidden="1" customWidth="1"/>
    <col min="15882" max="16128" width="9.140625" style="361"/>
    <col min="16129" max="16129" width="15.140625" style="361" customWidth="1"/>
    <col min="16130" max="16130" width="46.42578125" style="361" customWidth="1"/>
    <col min="16131" max="16131" width="48.28515625" style="361" customWidth="1"/>
    <col min="16132" max="16132" width="10.7109375" style="361" customWidth="1"/>
    <col min="16133" max="16133" width="11.7109375" style="361" customWidth="1"/>
    <col min="16134" max="16134" width="12.42578125" style="361" customWidth="1"/>
    <col min="16135" max="16135" width="14.7109375" style="361" customWidth="1"/>
    <col min="16136" max="16136" width="13.85546875" style="361" customWidth="1"/>
    <col min="16137" max="16137" width="0" style="361" hidden="1" customWidth="1"/>
    <col min="16138" max="16384" width="9.140625" style="361"/>
  </cols>
  <sheetData>
    <row r="1" spans="1:9">
      <c r="H1" s="378" t="s">
        <v>957</v>
      </c>
    </row>
    <row r="4" spans="1:9" ht="41.25" customHeight="1">
      <c r="A4" s="831" t="s">
        <v>958</v>
      </c>
      <c r="B4" s="831"/>
      <c r="C4" s="831"/>
      <c r="D4" s="831"/>
      <c r="E4" s="831"/>
      <c r="F4" s="831"/>
      <c r="G4" s="831"/>
      <c r="H4" s="831"/>
    </row>
    <row r="6" spans="1:9" s="632" customFormat="1" ht="51.75" customHeight="1">
      <c r="A6" s="610" t="s">
        <v>930</v>
      </c>
      <c r="B6" s="610" t="s">
        <v>931</v>
      </c>
      <c r="C6" s="610" t="s">
        <v>932</v>
      </c>
      <c r="D6" s="610" t="s">
        <v>959</v>
      </c>
      <c r="E6" s="610" t="s">
        <v>821</v>
      </c>
      <c r="F6" s="444" t="s">
        <v>960</v>
      </c>
      <c r="G6" s="444" t="s">
        <v>961</v>
      </c>
      <c r="H6" s="444" t="s">
        <v>999</v>
      </c>
    </row>
    <row r="7" spans="1:9" s="360" customFormat="1" ht="20.25" customHeight="1">
      <c r="A7" s="830" t="s">
        <v>820</v>
      </c>
      <c r="B7" s="830"/>
      <c r="C7" s="830"/>
      <c r="D7" s="830"/>
      <c r="E7" s="830"/>
      <c r="F7" s="830"/>
      <c r="G7" s="830"/>
      <c r="H7" s="830"/>
    </row>
    <row r="8" spans="1:9" s="363" customFormat="1" ht="13.5" customHeight="1">
      <c r="A8" s="832" t="s">
        <v>688</v>
      </c>
      <c r="B8" s="832"/>
      <c r="C8" s="832"/>
      <c r="D8" s="832"/>
      <c r="E8" s="832"/>
      <c r="F8" s="832"/>
      <c r="G8" s="832"/>
      <c r="H8" s="832"/>
    </row>
    <row r="9" spans="1:9" ht="13.5" customHeight="1">
      <c r="A9" s="364">
        <v>1</v>
      </c>
      <c r="B9" s="365" t="s">
        <v>693</v>
      </c>
      <c r="C9" s="369" t="s">
        <v>933</v>
      </c>
      <c r="D9" s="397">
        <v>1</v>
      </c>
      <c r="E9" s="377">
        <v>1.1000000000000001</v>
      </c>
      <c r="F9" s="380">
        <v>6402</v>
      </c>
      <c r="G9" s="380">
        <f t="shared" ref="G9:G14" si="0">F9*1.15</f>
        <v>7362.2999999999993</v>
      </c>
      <c r="H9" s="380">
        <f t="shared" ref="H9:H61" si="1">G9*1.3</f>
        <v>9570.99</v>
      </c>
      <c r="I9" s="361">
        <v>109514</v>
      </c>
    </row>
    <row r="10" spans="1:9" ht="13.5" customHeight="1">
      <c r="A10" s="364">
        <f>A9+1</f>
        <v>2</v>
      </c>
      <c r="B10" s="365" t="s">
        <v>690</v>
      </c>
      <c r="C10" s="369" t="s">
        <v>933</v>
      </c>
      <c r="D10" s="397">
        <v>1</v>
      </c>
      <c r="E10" s="377">
        <v>1</v>
      </c>
      <c r="F10" s="380">
        <v>5820</v>
      </c>
      <c r="G10" s="380">
        <f t="shared" si="0"/>
        <v>6692.9999999999991</v>
      </c>
      <c r="H10" s="380">
        <f t="shared" si="1"/>
        <v>8700.9</v>
      </c>
      <c r="I10" s="361">
        <v>109516</v>
      </c>
    </row>
    <row r="11" spans="1:9" ht="13.5" customHeight="1">
      <c r="A11" s="364">
        <f>A10+1</f>
        <v>3</v>
      </c>
      <c r="B11" s="365" t="s">
        <v>698</v>
      </c>
      <c r="C11" s="369" t="s">
        <v>933</v>
      </c>
      <c r="D11" s="397">
        <v>0.9</v>
      </c>
      <c r="E11" s="377">
        <v>1</v>
      </c>
      <c r="F11" s="380">
        <v>5238</v>
      </c>
      <c r="G11" s="380">
        <f t="shared" si="0"/>
        <v>6023.7</v>
      </c>
      <c r="H11" s="380">
        <f t="shared" si="1"/>
        <v>7830.81</v>
      </c>
      <c r="I11" s="361">
        <v>109519</v>
      </c>
    </row>
    <row r="12" spans="1:9" ht="13.5" customHeight="1">
      <c r="A12" s="364">
        <f>A11+1</f>
        <v>4</v>
      </c>
      <c r="B12" s="365" t="s">
        <v>708</v>
      </c>
      <c r="C12" s="369" t="s">
        <v>933</v>
      </c>
      <c r="D12" s="397">
        <v>0.5</v>
      </c>
      <c r="E12" s="377">
        <v>1</v>
      </c>
      <c r="F12" s="380">
        <v>2910</v>
      </c>
      <c r="G12" s="380">
        <f t="shared" si="0"/>
        <v>3346.4999999999995</v>
      </c>
      <c r="H12" s="380">
        <f t="shared" si="1"/>
        <v>4350.45</v>
      </c>
      <c r="I12" s="361">
        <v>109520</v>
      </c>
    </row>
    <row r="13" spans="1:9" ht="13.5" customHeight="1">
      <c r="A13" s="364">
        <f>A12+1</f>
        <v>5</v>
      </c>
      <c r="B13" s="365" t="s">
        <v>934</v>
      </c>
      <c r="C13" s="369" t="s">
        <v>933</v>
      </c>
      <c r="D13" s="397">
        <v>0.5</v>
      </c>
      <c r="E13" s="377">
        <v>1</v>
      </c>
      <c r="F13" s="380">
        <v>2910</v>
      </c>
      <c r="G13" s="380">
        <f t="shared" si="0"/>
        <v>3346.4999999999995</v>
      </c>
      <c r="H13" s="380">
        <f t="shared" si="1"/>
        <v>4350.45</v>
      </c>
      <c r="I13" s="361">
        <v>109523</v>
      </c>
    </row>
    <row r="14" spans="1:9" ht="13.5" customHeight="1">
      <c r="A14" s="364">
        <f>A13+1</f>
        <v>6</v>
      </c>
      <c r="B14" s="365" t="s">
        <v>705</v>
      </c>
      <c r="C14" s="369" t="s">
        <v>933</v>
      </c>
      <c r="D14" s="397">
        <v>0.3</v>
      </c>
      <c r="E14" s="377">
        <v>1</v>
      </c>
      <c r="F14" s="380">
        <v>1746</v>
      </c>
      <c r="G14" s="380">
        <f t="shared" si="0"/>
        <v>2007.8999999999999</v>
      </c>
      <c r="H14" s="380">
        <f t="shared" si="1"/>
        <v>2610.27</v>
      </c>
      <c r="I14" s="361">
        <v>111519</v>
      </c>
    </row>
    <row r="15" spans="1:9" ht="13.5" customHeight="1">
      <c r="A15" s="364"/>
      <c r="B15" s="365"/>
      <c r="C15" s="369"/>
      <c r="D15" s="392">
        <f>SUM(D9:D14)</f>
        <v>4.2</v>
      </c>
      <c r="E15" s="376"/>
      <c r="F15" s="381">
        <f>SUM(F9:F14)</f>
        <v>25026</v>
      </c>
      <c r="G15" s="381">
        <f t="shared" ref="G15:H15" si="2">SUM(G9:G14)</f>
        <v>28779.9</v>
      </c>
      <c r="H15" s="381">
        <f t="shared" si="2"/>
        <v>37413.869999999995</v>
      </c>
    </row>
    <row r="16" spans="1:9" ht="13.5" customHeight="1">
      <c r="A16" s="683" t="s">
        <v>710</v>
      </c>
      <c r="B16" s="684"/>
      <c r="C16" s="684"/>
      <c r="D16" s="684"/>
      <c r="E16" s="684"/>
      <c r="F16" s="684"/>
      <c r="G16" s="684"/>
      <c r="H16" s="685"/>
    </row>
    <row r="17" spans="1:9" ht="13.5" customHeight="1">
      <c r="A17" s="364">
        <v>7</v>
      </c>
      <c r="B17" s="365" t="s">
        <v>711</v>
      </c>
      <c r="C17" s="369" t="s">
        <v>933</v>
      </c>
      <c r="D17" s="397">
        <v>1</v>
      </c>
      <c r="E17" s="377">
        <v>1</v>
      </c>
      <c r="F17" s="380">
        <v>5820</v>
      </c>
      <c r="G17" s="380">
        <v>6693</v>
      </c>
      <c r="H17" s="380">
        <f t="shared" si="1"/>
        <v>8700.9</v>
      </c>
      <c r="I17" s="361">
        <v>119354</v>
      </c>
    </row>
    <row r="18" spans="1:9" ht="13.5" customHeight="1">
      <c r="A18" s="683" t="s">
        <v>716</v>
      </c>
      <c r="B18" s="684"/>
      <c r="C18" s="684"/>
      <c r="D18" s="684"/>
      <c r="E18" s="684"/>
      <c r="F18" s="684"/>
      <c r="G18" s="684"/>
      <c r="H18" s="685"/>
    </row>
    <row r="19" spans="1:9" ht="13.5" customHeight="1">
      <c r="A19" s="364">
        <v>8</v>
      </c>
      <c r="B19" s="365" t="s">
        <v>725</v>
      </c>
      <c r="C19" s="369" t="s">
        <v>933</v>
      </c>
      <c r="D19" s="397">
        <v>0.75</v>
      </c>
      <c r="E19" s="377">
        <v>1</v>
      </c>
      <c r="F19" s="380">
        <v>4365</v>
      </c>
      <c r="G19" s="380">
        <f>F19*1.15</f>
        <v>5019.75</v>
      </c>
      <c r="H19" s="380">
        <f t="shared" si="1"/>
        <v>6525.6750000000002</v>
      </c>
      <c r="I19" s="361">
        <v>119411</v>
      </c>
    </row>
    <row r="20" spans="1:9" ht="13.5" customHeight="1">
      <c r="A20" s="364">
        <v>9</v>
      </c>
      <c r="B20" s="365" t="s">
        <v>718</v>
      </c>
      <c r="C20" s="369" t="s">
        <v>933</v>
      </c>
      <c r="D20" s="397">
        <v>0.75</v>
      </c>
      <c r="E20" s="377">
        <v>1</v>
      </c>
      <c r="F20" s="380">
        <v>4365</v>
      </c>
      <c r="G20" s="380">
        <f>F20*1.15</f>
        <v>5019.75</v>
      </c>
      <c r="H20" s="380">
        <f t="shared" si="1"/>
        <v>6525.6750000000002</v>
      </c>
      <c r="I20" s="361">
        <v>119412</v>
      </c>
    </row>
    <row r="21" spans="1:9" ht="13.5" customHeight="1">
      <c r="A21" s="364"/>
      <c r="B21" s="365"/>
      <c r="C21" s="369"/>
      <c r="D21" s="392">
        <f>SUM(D19:D20)</f>
        <v>1.5</v>
      </c>
      <c r="E21" s="376"/>
      <c r="F21" s="381">
        <f>SUM(F19:F20)</f>
        <v>8730</v>
      </c>
      <c r="G21" s="381">
        <f t="shared" ref="G21:H21" si="3">SUM(G19:G20)</f>
        <v>10039.5</v>
      </c>
      <c r="H21" s="381">
        <f t="shared" si="3"/>
        <v>13051.35</v>
      </c>
    </row>
    <row r="22" spans="1:9" ht="13.5" customHeight="1">
      <c r="A22" s="683" t="s">
        <v>962</v>
      </c>
      <c r="B22" s="684"/>
      <c r="C22" s="684"/>
      <c r="D22" s="684"/>
      <c r="E22" s="684"/>
      <c r="F22" s="684"/>
      <c r="G22" s="684"/>
      <c r="H22" s="685"/>
    </row>
    <row r="23" spans="1:9" ht="13.5" customHeight="1">
      <c r="A23" s="364">
        <v>10</v>
      </c>
      <c r="B23" s="365" t="s">
        <v>727</v>
      </c>
      <c r="C23" s="369" t="s">
        <v>933</v>
      </c>
      <c r="D23" s="397">
        <v>1</v>
      </c>
      <c r="E23" s="377">
        <v>1</v>
      </c>
      <c r="F23" s="380">
        <v>5820</v>
      </c>
      <c r="G23" s="380">
        <v>6693</v>
      </c>
      <c r="H23" s="380">
        <f t="shared" si="1"/>
        <v>8700.9</v>
      </c>
      <c r="I23" s="361">
        <v>119463</v>
      </c>
    </row>
    <row r="24" spans="1:9" ht="13.5" customHeight="1">
      <c r="A24" s="364"/>
      <c r="B24" s="365"/>
      <c r="C24" s="369"/>
      <c r="D24" s="392">
        <f>SUM(D23)</f>
        <v>1</v>
      </c>
      <c r="E24" s="376"/>
      <c r="F24" s="381">
        <f>SUM(F23)</f>
        <v>5820</v>
      </c>
      <c r="G24" s="381">
        <f t="shared" ref="G24:H24" si="4">SUM(G23)</f>
        <v>6693</v>
      </c>
      <c r="H24" s="381">
        <f t="shared" si="4"/>
        <v>8700.9</v>
      </c>
    </row>
    <row r="25" spans="1:9" ht="13.5" customHeight="1">
      <c r="A25" s="683" t="s">
        <v>963</v>
      </c>
      <c r="B25" s="684"/>
      <c r="C25" s="684"/>
      <c r="D25" s="684"/>
      <c r="E25" s="684"/>
      <c r="F25" s="684"/>
      <c r="G25" s="684"/>
      <c r="H25" s="685"/>
    </row>
    <row r="26" spans="1:9" ht="13.5" customHeight="1">
      <c r="A26" s="364">
        <v>11</v>
      </c>
      <c r="B26" s="365" t="s">
        <v>729</v>
      </c>
      <c r="C26" s="369" t="s">
        <v>933</v>
      </c>
      <c r="D26" s="397">
        <v>1</v>
      </c>
      <c r="E26" s="377">
        <v>1</v>
      </c>
      <c r="F26" s="380">
        <v>5820</v>
      </c>
      <c r="G26" s="380">
        <v>6693</v>
      </c>
      <c r="H26" s="380">
        <f t="shared" si="1"/>
        <v>8700.9</v>
      </c>
      <c r="I26" s="361">
        <v>130454</v>
      </c>
    </row>
    <row r="27" spans="1:9" ht="13.5" customHeight="1">
      <c r="A27" s="364"/>
      <c r="B27" s="365"/>
      <c r="C27" s="369"/>
      <c r="D27" s="392">
        <f>SUM(D26)</f>
        <v>1</v>
      </c>
      <c r="E27" s="376"/>
      <c r="F27" s="381">
        <f>SUM(F26)</f>
        <v>5820</v>
      </c>
      <c r="G27" s="381">
        <f t="shared" ref="G27:H27" si="5">SUM(G26)</f>
        <v>6693</v>
      </c>
      <c r="H27" s="381">
        <f t="shared" si="5"/>
        <v>8700.9</v>
      </c>
    </row>
    <row r="28" spans="1:9" ht="13.5" customHeight="1">
      <c r="A28" s="683" t="s">
        <v>741</v>
      </c>
      <c r="B28" s="684"/>
      <c r="C28" s="684"/>
      <c r="D28" s="684"/>
      <c r="E28" s="684"/>
      <c r="F28" s="684"/>
      <c r="G28" s="684"/>
      <c r="H28" s="685"/>
    </row>
    <row r="29" spans="1:9" ht="39.75" customHeight="1">
      <c r="A29" s="364">
        <v>12</v>
      </c>
      <c r="B29" s="365" t="s">
        <v>935</v>
      </c>
      <c r="C29" s="369" t="s">
        <v>933</v>
      </c>
      <c r="D29" s="397">
        <v>1</v>
      </c>
      <c r="E29" s="377">
        <v>1</v>
      </c>
      <c r="F29" s="380">
        <v>5820</v>
      </c>
      <c r="G29" s="380">
        <v>6693</v>
      </c>
      <c r="H29" s="380">
        <f t="shared" si="1"/>
        <v>8700.9</v>
      </c>
      <c r="I29" s="361">
        <v>130550</v>
      </c>
    </row>
    <row r="30" spans="1:9" ht="13.5" customHeight="1">
      <c r="A30" s="364">
        <v>13</v>
      </c>
      <c r="B30" s="365" t="s">
        <v>756</v>
      </c>
      <c r="C30" s="369" t="s">
        <v>933</v>
      </c>
      <c r="D30" s="397">
        <v>1</v>
      </c>
      <c r="E30" s="377">
        <v>1</v>
      </c>
      <c r="F30" s="380">
        <v>5820</v>
      </c>
      <c r="G30" s="380">
        <v>6693</v>
      </c>
      <c r="H30" s="380">
        <f t="shared" si="1"/>
        <v>8700.9</v>
      </c>
      <c r="I30" s="361">
        <v>130551</v>
      </c>
    </row>
    <row r="31" spans="1:9" ht="13.5" customHeight="1">
      <c r="A31" s="364"/>
      <c r="B31" s="370"/>
      <c r="C31" s="369"/>
      <c r="D31" s="392">
        <v>2</v>
      </c>
      <c r="E31" s="376"/>
      <c r="F31" s="381">
        <f>SUM(F29:F30)</f>
        <v>11640</v>
      </c>
      <c r="G31" s="381">
        <f t="shared" ref="G31:H31" si="6">SUM(G29:G30)</f>
        <v>13386</v>
      </c>
      <c r="H31" s="381">
        <f t="shared" si="6"/>
        <v>17401.8</v>
      </c>
    </row>
    <row r="32" spans="1:9" ht="13.5" customHeight="1">
      <c r="A32" s="683" t="s">
        <v>864</v>
      </c>
      <c r="B32" s="684"/>
      <c r="C32" s="684"/>
      <c r="D32" s="684"/>
      <c r="E32" s="684"/>
      <c r="F32" s="684"/>
      <c r="G32" s="684"/>
      <c r="H32" s="685"/>
    </row>
    <row r="33" spans="1:9" ht="13.5" customHeight="1">
      <c r="A33" s="364">
        <v>14</v>
      </c>
      <c r="B33" s="365" t="s">
        <v>865</v>
      </c>
      <c r="C33" s="369" t="s">
        <v>933</v>
      </c>
      <c r="D33" s="397">
        <v>0.9</v>
      </c>
      <c r="E33" s="377">
        <v>1</v>
      </c>
      <c r="F33" s="380">
        <v>5238</v>
      </c>
      <c r="G33" s="380">
        <f>F33*1.15</f>
        <v>6023.7</v>
      </c>
      <c r="H33" s="380">
        <f t="shared" si="1"/>
        <v>7830.81</v>
      </c>
      <c r="I33" s="361">
        <v>119536</v>
      </c>
    </row>
    <row r="34" spans="1:9" ht="13.5" customHeight="1">
      <c r="A34" s="365"/>
      <c r="B34" s="365"/>
      <c r="C34" s="369"/>
      <c r="D34" s="392">
        <f>SUM(D33)</f>
        <v>0.9</v>
      </c>
      <c r="E34" s="376"/>
      <c r="F34" s="381">
        <f>SUM(F33)</f>
        <v>5238</v>
      </c>
      <c r="G34" s="381">
        <f t="shared" ref="G34:H34" si="7">SUM(G33)</f>
        <v>6023.7</v>
      </c>
      <c r="H34" s="381">
        <f t="shared" si="7"/>
        <v>7830.81</v>
      </c>
    </row>
    <row r="35" spans="1:9" ht="13.5" customHeight="1">
      <c r="A35" s="683" t="s">
        <v>733</v>
      </c>
      <c r="B35" s="684"/>
      <c r="C35" s="684"/>
      <c r="D35" s="684"/>
      <c r="E35" s="684"/>
      <c r="F35" s="684"/>
      <c r="G35" s="684"/>
      <c r="H35" s="685"/>
    </row>
    <row r="36" spans="1:9" ht="13.5" customHeight="1">
      <c r="A36" s="364">
        <v>15</v>
      </c>
      <c r="B36" s="365" t="s">
        <v>936</v>
      </c>
      <c r="C36" s="369" t="s">
        <v>933</v>
      </c>
      <c r="D36" s="397">
        <v>1</v>
      </c>
      <c r="E36" s="377">
        <v>1.04</v>
      </c>
      <c r="F36" s="380">
        <v>6060</v>
      </c>
      <c r="G36" s="380">
        <v>6969</v>
      </c>
      <c r="H36" s="380">
        <f t="shared" si="1"/>
        <v>9059.7000000000007</v>
      </c>
      <c r="I36" s="361">
        <v>131506</v>
      </c>
    </row>
    <row r="37" spans="1:9" ht="13.5" customHeight="1">
      <c r="A37" s="364">
        <v>16</v>
      </c>
      <c r="B37" s="365" t="s">
        <v>1007</v>
      </c>
      <c r="C37" s="369" t="s">
        <v>933</v>
      </c>
      <c r="D37" s="397">
        <v>0.2</v>
      </c>
      <c r="E37" s="377"/>
      <c r="F37" s="380">
        <v>1164</v>
      </c>
      <c r="G37" s="380">
        <f>F37*1.15</f>
        <v>1338.6</v>
      </c>
      <c r="H37" s="380">
        <f t="shared" si="1"/>
        <v>1740.1799999999998</v>
      </c>
    </row>
    <row r="38" spans="1:9" ht="13.5" customHeight="1">
      <c r="A38" s="364"/>
      <c r="B38" s="365"/>
      <c r="C38" s="369"/>
      <c r="D38" s="392">
        <f>SUM(D36:D37)</f>
        <v>1.2</v>
      </c>
      <c r="E38" s="376"/>
      <c r="F38" s="381">
        <f>SUM(F36:F37)</f>
        <v>7224</v>
      </c>
      <c r="G38" s="381">
        <f t="shared" ref="G38:H38" si="8">SUM(G36:G37)</f>
        <v>8307.6</v>
      </c>
      <c r="H38" s="381">
        <f t="shared" si="8"/>
        <v>10799.880000000001</v>
      </c>
    </row>
    <row r="39" spans="1:9" ht="13.5" customHeight="1">
      <c r="A39" s="683" t="s">
        <v>768</v>
      </c>
      <c r="B39" s="684"/>
      <c r="C39" s="684"/>
      <c r="D39" s="684"/>
      <c r="E39" s="684"/>
      <c r="F39" s="684"/>
      <c r="G39" s="684"/>
      <c r="H39" s="685"/>
    </row>
    <row r="40" spans="1:9" ht="13.5" customHeight="1">
      <c r="A40" s="364">
        <v>17</v>
      </c>
      <c r="B40" s="365" t="s">
        <v>770</v>
      </c>
      <c r="C40" s="369" t="s">
        <v>933</v>
      </c>
      <c r="D40" s="397">
        <v>0.9</v>
      </c>
      <c r="E40" s="377">
        <v>1</v>
      </c>
      <c r="F40" s="380">
        <v>5238</v>
      </c>
      <c r="G40" s="380">
        <f>F40*1.15</f>
        <v>6023.7</v>
      </c>
      <c r="H40" s="380">
        <f t="shared" si="1"/>
        <v>7830.81</v>
      </c>
      <c r="I40" s="361">
        <v>119584</v>
      </c>
    </row>
    <row r="41" spans="1:9" ht="13.5" customHeight="1">
      <c r="A41" s="364"/>
      <c r="B41" s="365"/>
      <c r="C41" s="369"/>
      <c r="D41" s="392">
        <f>SUM(D40)</f>
        <v>0.9</v>
      </c>
      <c r="E41" s="376"/>
      <c r="F41" s="381">
        <f>SUM(F40)</f>
        <v>5238</v>
      </c>
      <c r="G41" s="381">
        <f t="shared" ref="G41:H41" si="9">SUM(G40)</f>
        <v>6023.7</v>
      </c>
      <c r="H41" s="381">
        <f t="shared" si="9"/>
        <v>7830.81</v>
      </c>
    </row>
    <row r="42" spans="1:9" ht="13.5" customHeight="1">
      <c r="A42" s="683" t="s">
        <v>866</v>
      </c>
      <c r="B42" s="684"/>
      <c r="C42" s="684"/>
      <c r="D42" s="684"/>
      <c r="E42" s="684"/>
      <c r="F42" s="684"/>
      <c r="G42" s="684"/>
      <c r="H42" s="685"/>
    </row>
    <row r="43" spans="1:9" ht="13.5" customHeight="1">
      <c r="A43" s="364">
        <v>18</v>
      </c>
      <c r="B43" s="365" t="s">
        <v>792</v>
      </c>
      <c r="C43" s="369" t="s">
        <v>933</v>
      </c>
      <c r="D43" s="397">
        <v>0.7</v>
      </c>
      <c r="E43" s="377">
        <v>1</v>
      </c>
      <c r="F43" s="380">
        <v>4074</v>
      </c>
      <c r="G43" s="380">
        <f>F43*1.15</f>
        <v>4685.0999999999995</v>
      </c>
      <c r="H43" s="380">
        <f t="shared" si="1"/>
        <v>6090.6299999999992</v>
      </c>
      <c r="I43" s="361">
        <v>133549</v>
      </c>
    </row>
    <row r="44" spans="1:9" ht="13.5" customHeight="1">
      <c r="A44" s="364">
        <v>19</v>
      </c>
      <c r="B44" s="365" t="s">
        <v>937</v>
      </c>
      <c r="C44" s="369" t="s">
        <v>933</v>
      </c>
      <c r="D44" s="397">
        <v>0.7</v>
      </c>
      <c r="E44" s="377">
        <v>1</v>
      </c>
      <c r="F44" s="380">
        <v>4074</v>
      </c>
      <c r="G44" s="380">
        <f>F44*1.15</f>
        <v>4685.0999999999995</v>
      </c>
      <c r="H44" s="380">
        <f t="shared" si="1"/>
        <v>6090.6299999999992</v>
      </c>
      <c r="I44" s="361">
        <v>133019</v>
      </c>
    </row>
    <row r="45" spans="1:9" ht="13.5" customHeight="1">
      <c r="A45" s="364">
        <v>20</v>
      </c>
      <c r="B45" s="365" t="s">
        <v>779</v>
      </c>
      <c r="C45" s="369" t="s">
        <v>933</v>
      </c>
      <c r="D45" s="397">
        <v>1</v>
      </c>
      <c r="E45" s="377">
        <v>1</v>
      </c>
      <c r="F45" s="380">
        <v>5820</v>
      </c>
      <c r="G45" s="380">
        <f>F45*1.15</f>
        <v>6692.9999999999991</v>
      </c>
      <c r="H45" s="380">
        <f t="shared" si="1"/>
        <v>8700.9</v>
      </c>
      <c r="I45" s="361">
        <v>133020</v>
      </c>
    </row>
    <row r="46" spans="1:9" ht="13.5" customHeight="1">
      <c r="A46" s="364">
        <v>21</v>
      </c>
      <c r="B46" s="365" t="s">
        <v>775</v>
      </c>
      <c r="C46" s="369" t="s">
        <v>933</v>
      </c>
      <c r="D46" s="397">
        <v>1</v>
      </c>
      <c r="E46" s="377">
        <v>1</v>
      </c>
      <c r="F46" s="380">
        <v>5820</v>
      </c>
      <c r="G46" s="380">
        <v>6693</v>
      </c>
      <c r="H46" s="380">
        <f t="shared" si="1"/>
        <v>8700.9</v>
      </c>
      <c r="I46" s="361">
        <v>133021</v>
      </c>
    </row>
    <row r="47" spans="1:9" ht="13.5" customHeight="1">
      <c r="A47" s="364">
        <v>22</v>
      </c>
      <c r="B47" s="365" t="s">
        <v>830</v>
      </c>
      <c r="C47" s="369" t="s">
        <v>933</v>
      </c>
      <c r="D47" s="397">
        <v>1</v>
      </c>
      <c r="E47" s="377">
        <v>1</v>
      </c>
      <c r="F47" s="380">
        <v>5820</v>
      </c>
      <c r="G47" s="380">
        <f t="shared" ref="G47:G54" si="10">F47*1.15</f>
        <v>6692.9999999999991</v>
      </c>
      <c r="H47" s="380">
        <f t="shared" si="1"/>
        <v>8700.9</v>
      </c>
      <c r="I47" s="361">
        <v>133022</v>
      </c>
    </row>
    <row r="48" spans="1:9" ht="13.5" customHeight="1">
      <c r="A48" s="364">
        <v>23</v>
      </c>
      <c r="B48" s="365" t="s">
        <v>786</v>
      </c>
      <c r="C48" s="369" t="s">
        <v>933</v>
      </c>
      <c r="D48" s="397">
        <v>1</v>
      </c>
      <c r="E48" s="377">
        <v>1</v>
      </c>
      <c r="F48" s="380">
        <v>5820</v>
      </c>
      <c r="G48" s="380">
        <f t="shared" si="10"/>
        <v>6692.9999999999991</v>
      </c>
      <c r="H48" s="380">
        <f t="shared" si="1"/>
        <v>8700.9</v>
      </c>
      <c r="I48" s="361">
        <v>133023</v>
      </c>
    </row>
    <row r="49" spans="1:9" ht="13.5" customHeight="1">
      <c r="A49" s="364">
        <v>24</v>
      </c>
      <c r="B49" s="365" t="s">
        <v>781</v>
      </c>
      <c r="C49" s="369" t="s">
        <v>933</v>
      </c>
      <c r="D49" s="397">
        <v>1</v>
      </c>
      <c r="E49" s="377">
        <v>1</v>
      </c>
      <c r="F49" s="380">
        <v>5820</v>
      </c>
      <c r="G49" s="380">
        <f t="shared" si="10"/>
        <v>6692.9999999999991</v>
      </c>
      <c r="H49" s="380">
        <f t="shared" si="1"/>
        <v>8700.9</v>
      </c>
      <c r="I49" s="361">
        <v>133024</v>
      </c>
    </row>
    <row r="50" spans="1:9" ht="28.5" customHeight="1">
      <c r="A50" s="364">
        <v>25</v>
      </c>
      <c r="B50" s="365" t="s">
        <v>938</v>
      </c>
      <c r="C50" s="369" t="s">
        <v>933</v>
      </c>
      <c r="D50" s="397">
        <v>1</v>
      </c>
      <c r="E50" s="377">
        <v>1</v>
      </c>
      <c r="F50" s="380">
        <v>5820</v>
      </c>
      <c r="G50" s="380">
        <f t="shared" si="10"/>
        <v>6692.9999999999991</v>
      </c>
      <c r="H50" s="380">
        <f t="shared" si="1"/>
        <v>8700.9</v>
      </c>
      <c r="I50" s="361">
        <v>133025</v>
      </c>
    </row>
    <row r="51" spans="1:9" ht="13.5" customHeight="1">
      <c r="A51" s="364">
        <v>26</v>
      </c>
      <c r="B51" s="365" t="s">
        <v>784</v>
      </c>
      <c r="C51" s="369" t="s">
        <v>933</v>
      </c>
      <c r="D51" s="397">
        <v>1</v>
      </c>
      <c r="E51" s="377">
        <v>1</v>
      </c>
      <c r="F51" s="380">
        <v>5820</v>
      </c>
      <c r="G51" s="380">
        <f t="shared" si="10"/>
        <v>6692.9999999999991</v>
      </c>
      <c r="H51" s="380">
        <f t="shared" si="1"/>
        <v>8700.9</v>
      </c>
      <c r="I51" s="361">
        <v>133026</v>
      </c>
    </row>
    <row r="52" spans="1:9" ht="13.5" customHeight="1">
      <c r="A52" s="364">
        <v>27</v>
      </c>
      <c r="B52" s="365" t="s">
        <v>778</v>
      </c>
      <c r="C52" s="369" t="s">
        <v>933</v>
      </c>
      <c r="D52" s="397">
        <v>1</v>
      </c>
      <c r="E52" s="377">
        <v>1</v>
      </c>
      <c r="F52" s="380">
        <v>5820</v>
      </c>
      <c r="G52" s="380">
        <f t="shared" si="10"/>
        <v>6692.9999999999991</v>
      </c>
      <c r="H52" s="380">
        <f t="shared" si="1"/>
        <v>8700.9</v>
      </c>
      <c r="I52" s="361">
        <v>133027</v>
      </c>
    </row>
    <row r="53" spans="1:9" ht="13.5" customHeight="1">
      <c r="A53" s="364">
        <v>28</v>
      </c>
      <c r="B53" s="365" t="s">
        <v>798</v>
      </c>
      <c r="C53" s="369" t="s">
        <v>933</v>
      </c>
      <c r="D53" s="397">
        <v>0.6</v>
      </c>
      <c r="E53" s="377">
        <v>1</v>
      </c>
      <c r="F53" s="380">
        <v>3492</v>
      </c>
      <c r="G53" s="380">
        <f t="shared" si="10"/>
        <v>4015.7999999999997</v>
      </c>
      <c r="H53" s="380">
        <f t="shared" si="1"/>
        <v>5220.54</v>
      </c>
      <c r="I53" s="361">
        <v>133028</v>
      </c>
    </row>
    <row r="54" spans="1:9" ht="13.5" customHeight="1">
      <c r="A54" s="364">
        <v>29</v>
      </c>
      <c r="B54" s="365" t="s">
        <v>789</v>
      </c>
      <c r="C54" s="369" t="s">
        <v>933</v>
      </c>
      <c r="D54" s="397">
        <v>0.4</v>
      </c>
      <c r="E54" s="377">
        <v>1</v>
      </c>
      <c r="F54" s="380">
        <v>2328</v>
      </c>
      <c r="G54" s="380">
        <f t="shared" si="10"/>
        <v>2677.2</v>
      </c>
      <c r="H54" s="380">
        <f t="shared" si="1"/>
        <v>3480.3599999999997</v>
      </c>
      <c r="I54" s="361">
        <v>133030</v>
      </c>
    </row>
    <row r="55" spans="1:9" ht="13.5" customHeight="1">
      <c r="A55" s="364"/>
      <c r="B55" s="365"/>
      <c r="C55" s="369"/>
      <c r="D55" s="392">
        <f>SUM(D43:D54)</f>
        <v>10.4</v>
      </c>
      <c r="E55" s="376"/>
      <c r="F55" s="381">
        <f>SUM(F43:F54)</f>
        <v>60528</v>
      </c>
      <c r="G55" s="381">
        <f t="shared" ref="G55:I55" si="11">SUM(G43:G54)</f>
        <v>69607.199999999997</v>
      </c>
      <c r="H55" s="381">
        <f t="shared" si="11"/>
        <v>90489.359999999986</v>
      </c>
      <c r="I55" s="381">
        <f t="shared" si="11"/>
        <v>1596814</v>
      </c>
    </row>
    <row r="56" spans="1:9" ht="13.5" customHeight="1">
      <c r="A56" s="683" t="s">
        <v>1000</v>
      </c>
      <c r="B56" s="684"/>
      <c r="C56" s="684"/>
      <c r="D56" s="684"/>
      <c r="E56" s="684"/>
      <c r="F56" s="684"/>
      <c r="G56" s="684"/>
      <c r="H56" s="685"/>
    </row>
    <row r="57" spans="1:9" ht="13.5" customHeight="1">
      <c r="A57" s="364">
        <v>30</v>
      </c>
      <c r="B57" s="365" t="s">
        <v>802</v>
      </c>
      <c r="C57" s="369" t="s">
        <v>933</v>
      </c>
      <c r="D57" s="397">
        <v>1</v>
      </c>
      <c r="E57" s="377">
        <v>1</v>
      </c>
      <c r="F57" s="380">
        <v>5820</v>
      </c>
      <c r="G57" s="380">
        <v>6693</v>
      </c>
      <c r="H57" s="380">
        <f t="shared" si="1"/>
        <v>8700.9</v>
      </c>
      <c r="I57" s="361">
        <v>119632</v>
      </c>
    </row>
    <row r="58" spans="1:9" ht="13.5" customHeight="1">
      <c r="A58" s="364"/>
      <c r="B58" s="365"/>
      <c r="C58" s="369"/>
      <c r="D58" s="392">
        <v>1</v>
      </c>
      <c r="E58" s="376"/>
      <c r="F58" s="381">
        <f>SUM(F57)</f>
        <v>5820</v>
      </c>
      <c r="G58" s="381">
        <f t="shared" ref="G58:H58" si="12">SUM(G57)</f>
        <v>6693</v>
      </c>
      <c r="H58" s="381">
        <f t="shared" si="12"/>
        <v>8700.9</v>
      </c>
    </row>
    <row r="59" spans="1:9" ht="13.5" customHeight="1">
      <c r="A59" s="683" t="s">
        <v>964</v>
      </c>
      <c r="B59" s="684"/>
      <c r="C59" s="684"/>
      <c r="D59" s="684"/>
      <c r="E59" s="684"/>
      <c r="F59" s="684"/>
      <c r="G59" s="684"/>
      <c r="H59" s="685"/>
    </row>
    <row r="60" spans="1:9" ht="13.5" customHeight="1">
      <c r="A60" s="364">
        <v>31</v>
      </c>
      <c r="B60" s="365" t="s">
        <v>939</v>
      </c>
      <c r="C60" s="369" t="s">
        <v>933</v>
      </c>
      <c r="D60" s="397">
        <v>1</v>
      </c>
      <c r="E60" s="377">
        <v>1</v>
      </c>
      <c r="F60" s="380">
        <v>5820</v>
      </c>
      <c r="G60" s="380">
        <v>6693</v>
      </c>
      <c r="H60" s="380">
        <f t="shared" si="1"/>
        <v>8700.9</v>
      </c>
      <c r="I60" s="361">
        <v>131704</v>
      </c>
    </row>
    <row r="61" spans="1:9" ht="13.5" customHeight="1">
      <c r="A61" s="364">
        <v>32</v>
      </c>
      <c r="B61" s="365" t="s">
        <v>965</v>
      </c>
      <c r="C61" s="369" t="s">
        <v>933</v>
      </c>
      <c r="D61" s="397">
        <v>1</v>
      </c>
      <c r="E61" s="377">
        <v>1</v>
      </c>
      <c r="F61" s="380">
        <v>5820</v>
      </c>
      <c r="G61" s="380">
        <v>6693</v>
      </c>
      <c r="H61" s="380">
        <f t="shared" si="1"/>
        <v>8700.9</v>
      </c>
      <c r="I61" s="361">
        <v>131705</v>
      </c>
    </row>
    <row r="62" spans="1:9" ht="13.5" customHeight="1">
      <c r="A62" s="364"/>
      <c r="B62" s="365"/>
      <c r="C62" s="369"/>
      <c r="D62" s="392">
        <v>2</v>
      </c>
      <c r="E62" s="376"/>
      <c r="F62" s="381">
        <f>SUM(F60:F61)</f>
        <v>11640</v>
      </c>
      <c r="G62" s="381">
        <f t="shared" ref="G62:H62" si="13">SUM(G60:G61)</f>
        <v>13386</v>
      </c>
      <c r="H62" s="381">
        <f t="shared" si="13"/>
        <v>17401.8</v>
      </c>
    </row>
    <row r="63" spans="1:9" s="363" customFormat="1">
      <c r="A63" s="373"/>
      <c r="B63" s="366" t="s">
        <v>967</v>
      </c>
      <c r="C63" s="366"/>
      <c r="D63" s="404">
        <f t="shared" ref="D63" si="14">D15+D17+D21+D24+D27+D31+D34+D38+D41+D55+D58+D62</f>
        <v>27.1</v>
      </c>
      <c r="E63" s="382"/>
      <c r="F63" s="382">
        <f>F15+F17+F21+F24+F27+F31+F34+F38+F41+F55+F58+F62</f>
        <v>158544</v>
      </c>
      <c r="G63" s="382">
        <f t="shared" ref="G63:H63" si="15">G15+G17+G21+G24+G27+G31+G34+G38+G41+G55+G58+G62</f>
        <v>182325.59999999998</v>
      </c>
      <c r="H63" s="382">
        <f t="shared" si="15"/>
        <v>237023.27999999994</v>
      </c>
    </row>
    <row r="64" spans="1:9" ht="15.75">
      <c r="A64" s="811" t="s">
        <v>662</v>
      </c>
      <c r="B64" s="811"/>
      <c r="C64" s="811"/>
      <c r="D64" s="811"/>
      <c r="E64" s="811"/>
      <c r="F64" s="811"/>
      <c r="G64" s="811"/>
      <c r="H64" s="811"/>
    </row>
    <row r="65" spans="1:8">
      <c r="A65" s="683" t="s">
        <v>966</v>
      </c>
      <c r="B65" s="684"/>
      <c r="C65" s="684"/>
      <c r="D65" s="684"/>
      <c r="E65" s="684"/>
      <c r="F65" s="684"/>
      <c r="G65" s="684"/>
      <c r="H65" s="685"/>
    </row>
    <row r="66" spans="1:8">
      <c r="A66" s="364">
        <v>1</v>
      </c>
      <c r="B66" s="365" t="s">
        <v>878</v>
      </c>
      <c r="C66" s="365" t="s">
        <v>933</v>
      </c>
      <c r="D66" s="391">
        <v>0.8</v>
      </c>
      <c r="E66" s="369">
        <v>1</v>
      </c>
      <c r="F66" s="379">
        <v>4660</v>
      </c>
      <c r="G66" s="379">
        <v>5354.4</v>
      </c>
      <c r="H66" s="380">
        <f>G66*1.3</f>
        <v>6960.7199999999993</v>
      </c>
    </row>
    <row r="67" spans="1:8" ht="38.25">
      <c r="A67" s="364">
        <v>2</v>
      </c>
      <c r="B67" s="365" t="s">
        <v>940</v>
      </c>
      <c r="C67" s="365" t="s">
        <v>933</v>
      </c>
      <c r="D67" s="391">
        <v>1</v>
      </c>
      <c r="E67" s="369">
        <v>1</v>
      </c>
      <c r="F67" s="379">
        <v>5820</v>
      </c>
      <c r="G67" s="379">
        <v>6693</v>
      </c>
      <c r="H67" s="380">
        <f t="shared" ref="H67:H77" si="16">G67*1.3</f>
        <v>8700.9</v>
      </c>
    </row>
    <row r="68" spans="1:8">
      <c r="A68" s="364">
        <v>3</v>
      </c>
      <c r="B68" s="365" t="s">
        <v>44</v>
      </c>
      <c r="C68" s="365" t="s">
        <v>933</v>
      </c>
      <c r="D68" s="391">
        <v>1</v>
      </c>
      <c r="E68" s="369">
        <v>1</v>
      </c>
      <c r="F68" s="379">
        <v>5820</v>
      </c>
      <c r="G68" s="379">
        <v>6693</v>
      </c>
      <c r="H68" s="380">
        <f t="shared" si="16"/>
        <v>8700.9</v>
      </c>
    </row>
    <row r="69" spans="1:8">
      <c r="A69" s="364">
        <v>4</v>
      </c>
      <c r="B69" s="365" t="s">
        <v>877</v>
      </c>
      <c r="C69" s="365" t="s">
        <v>933</v>
      </c>
      <c r="D69" s="391">
        <v>1</v>
      </c>
      <c r="E69" s="369">
        <v>1</v>
      </c>
      <c r="F69" s="379">
        <v>5820</v>
      </c>
      <c r="G69" s="379">
        <v>6693</v>
      </c>
      <c r="H69" s="380">
        <f t="shared" si="16"/>
        <v>8700.9</v>
      </c>
    </row>
    <row r="70" spans="1:8">
      <c r="A70" s="364">
        <v>5</v>
      </c>
      <c r="B70" s="365" t="s">
        <v>50</v>
      </c>
      <c r="C70" s="365" t="s">
        <v>933</v>
      </c>
      <c r="D70" s="391">
        <v>1</v>
      </c>
      <c r="E70" s="369">
        <v>1</v>
      </c>
      <c r="F70" s="379">
        <v>5820</v>
      </c>
      <c r="G70" s="379">
        <v>6693</v>
      </c>
      <c r="H70" s="380">
        <f>G70*1.3</f>
        <v>8700.9</v>
      </c>
    </row>
    <row r="71" spans="1:8">
      <c r="A71" s="364">
        <v>6</v>
      </c>
      <c r="B71" s="365" t="s">
        <v>31</v>
      </c>
      <c r="C71" s="365" t="s">
        <v>933</v>
      </c>
      <c r="D71" s="391">
        <v>1</v>
      </c>
      <c r="E71" s="383">
        <v>0.1</v>
      </c>
      <c r="F71" s="379">
        <v>5820</v>
      </c>
      <c r="G71" s="379">
        <v>7362.3</v>
      </c>
      <c r="H71" s="380">
        <f>G71*1.3</f>
        <v>9570.99</v>
      </c>
    </row>
    <row r="72" spans="1:8">
      <c r="A72" s="364"/>
      <c r="B72" s="365"/>
      <c r="C72" s="365"/>
      <c r="D72" s="393">
        <f>SUM(D66:D71)</f>
        <v>5.8</v>
      </c>
      <c r="E72" s="369"/>
      <c r="F72" s="382">
        <f>SUM(F66:F71)</f>
        <v>33760</v>
      </c>
      <c r="G72" s="382">
        <f>SUM(G66:G71)</f>
        <v>39488.700000000004</v>
      </c>
      <c r="H72" s="381">
        <f>G72*1.3</f>
        <v>51335.310000000005</v>
      </c>
    </row>
    <row r="73" spans="1:8">
      <c r="A73" s="683" t="s">
        <v>59</v>
      </c>
      <c r="B73" s="684"/>
      <c r="C73" s="684"/>
      <c r="D73" s="684"/>
      <c r="E73" s="684"/>
      <c r="F73" s="684"/>
      <c r="G73" s="684"/>
      <c r="H73" s="685"/>
    </row>
    <row r="74" spans="1:8">
      <c r="A74" s="364">
        <v>7</v>
      </c>
      <c r="B74" s="365" t="s">
        <v>61</v>
      </c>
      <c r="C74" s="365" t="s">
        <v>933</v>
      </c>
      <c r="D74" s="391">
        <v>1</v>
      </c>
      <c r="E74" s="369">
        <v>1</v>
      </c>
      <c r="F74" s="379">
        <v>5820</v>
      </c>
      <c r="G74" s="379">
        <v>6693</v>
      </c>
      <c r="H74" s="380">
        <f t="shared" si="16"/>
        <v>8700.9</v>
      </c>
    </row>
    <row r="75" spans="1:8">
      <c r="A75" s="364">
        <v>8</v>
      </c>
      <c r="B75" s="365" t="s">
        <v>87</v>
      </c>
      <c r="C75" s="365" t="s">
        <v>933</v>
      </c>
      <c r="D75" s="391">
        <v>0.5</v>
      </c>
      <c r="E75" s="369">
        <v>1</v>
      </c>
      <c r="F75" s="379">
        <v>2910</v>
      </c>
      <c r="G75" s="379">
        <v>3346.5</v>
      </c>
      <c r="H75" s="380">
        <f t="shared" si="16"/>
        <v>4350.45</v>
      </c>
    </row>
    <row r="76" spans="1:8">
      <c r="A76" s="364">
        <v>9</v>
      </c>
      <c r="B76" s="365" t="s">
        <v>77</v>
      </c>
      <c r="C76" s="365" t="s">
        <v>933</v>
      </c>
      <c r="D76" s="391">
        <v>1</v>
      </c>
      <c r="E76" s="369">
        <v>1</v>
      </c>
      <c r="F76" s="379">
        <v>5820</v>
      </c>
      <c r="G76" s="379">
        <v>6693</v>
      </c>
      <c r="H76" s="380">
        <f t="shared" si="16"/>
        <v>8700.9</v>
      </c>
    </row>
    <row r="77" spans="1:8">
      <c r="A77" s="364">
        <v>10</v>
      </c>
      <c r="B77" s="365" t="s">
        <v>66</v>
      </c>
      <c r="C77" s="365" t="s">
        <v>933</v>
      </c>
      <c r="D77" s="391">
        <v>1</v>
      </c>
      <c r="E77" s="369">
        <v>1</v>
      </c>
      <c r="F77" s="379">
        <v>5820</v>
      </c>
      <c r="G77" s="379">
        <v>6693</v>
      </c>
      <c r="H77" s="380">
        <f t="shared" si="16"/>
        <v>8700.9</v>
      </c>
    </row>
    <row r="78" spans="1:8">
      <c r="A78" s="364">
        <v>11</v>
      </c>
      <c r="B78" s="365" t="s">
        <v>941</v>
      </c>
      <c r="C78" s="365" t="s">
        <v>933</v>
      </c>
      <c r="D78" s="391">
        <v>1</v>
      </c>
      <c r="E78" s="369">
        <v>1</v>
      </c>
      <c r="F78" s="379">
        <v>5820</v>
      </c>
      <c r="G78" s="379">
        <v>6693</v>
      </c>
      <c r="H78" s="380">
        <f>G78*1.3</f>
        <v>8700.9</v>
      </c>
    </row>
    <row r="79" spans="1:8">
      <c r="A79" s="364"/>
      <c r="B79" s="365"/>
      <c r="C79" s="365"/>
      <c r="D79" s="393">
        <f>SUM(D74:D78)</f>
        <v>4.5</v>
      </c>
      <c r="E79" s="369"/>
      <c r="F79" s="382">
        <f>SUM(F74:F78)</f>
        <v>26190</v>
      </c>
      <c r="G79" s="382">
        <f t="shared" ref="G79:H79" si="17">SUM(G74:G78)</f>
        <v>30118.5</v>
      </c>
      <c r="H79" s="382">
        <f t="shared" si="17"/>
        <v>39154.050000000003</v>
      </c>
    </row>
    <row r="80" spans="1:8">
      <c r="A80" s="833" t="s">
        <v>92</v>
      </c>
      <c r="B80" s="834"/>
      <c r="C80" s="834"/>
      <c r="D80" s="834"/>
      <c r="E80" s="834"/>
      <c r="F80" s="834"/>
      <c r="G80" s="834"/>
      <c r="H80" s="835"/>
    </row>
    <row r="81" spans="1:8">
      <c r="A81" s="364">
        <v>12</v>
      </c>
      <c r="B81" s="365" t="s">
        <v>94</v>
      </c>
      <c r="C81" s="365" t="s">
        <v>933</v>
      </c>
      <c r="D81" s="391">
        <v>1</v>
      </c>
      <c r="E81" s="369">
        <v>1</v>
      </c>
      <c r="F81" s="379">
        <v>5820</v>
      </c>
      <c r="G81" s="379">
        <v>6693</v>
      </c>
      <c r="H81" s="380">
        <f>G81*1.3</f>
        <v>8700.9</v>
      </c>
    </row>
    <row r="82" spans="1:8">
      <c r="A82" s="364"/>
      <c r="B82" s="365"/>
      <c r="C82" s="365"/>
      <c r="D82" s="393">
        <f>D81</f>
        <v>1</v>
      </c>
      <c r="E82" s="369"/>
      <c r="F82" s="382">
        <f>F81</f>
        <v>5820</v>
      </c>
      <c r="G82" s="382">
        <f>G81</f>
        <v>6693</v>
      </c>
      <c r="H82" s="381">
        <f>H81</f>
        <v>8700.9</v>
      </c>
    </row>
    <row r="83" spans="1:8">
      <c r="A83" s="683" t="s">
        <v>97</v>
      </c>
      <c r="B83" s="684"/>
      <c r="C83" s="684"/>
      <c r="D83" s="684"/>
      <c r="E83" s="684"/>
      <c r="F83" s="684"/>
      <c r="G83" s="684"/>
      <c r="H83" s="685"/>
    </row>
    <row r="84" spans="1:8">
      <c r="A84" s="364">
        <v>13</v>
      </c>
      <c r="B84" s="365" t="s">
        <v>99</v>
      </c>
      <c r="C84" s="365" t="s">
        <v>933</v>
      </c>
      <c r="D84" s="391">
        <v>1</v>
      </c>
      <c r="E84" s="369">
        <v>1</v>
      </c>
      <c r="F84" s="379">
        <v>5820</v>
      </c>
      <c r="G84" s="379">
        <v>6693</v>
      </c>
      <c r="H84" s="380">
        <f>G84*1.3</f>
        <v>8700.9</v>
      </c>
    </row>
    <row r="85" spans="1:8">
      <c r="A85" s="364"/>
      <c r="B85" s="365"/>
      <c r="C85" s="365"/>
      <c r="D85" s="393">
        <f>D84</f>
        <v>1</v>
      </c>
      <c r="E85" s="369"/>
      <c r="F85" s="382">
        <f>F84</f>
        <v>5820</v>
      </c>
      <c r="G85" s="382">
        <f t="shared" ref="G85:H85" si="18">G84</f>
        <v>6693</v>
      </c>
      <c r="H85" s="382">
        <f t="shared" si="18"/>
        <v>8700.9</v>
      </c>
    </row>
    <row r="86" spans="1:8">
      <c r="A86" s="373"/>
      <c r="B86" s="366" t="s">
        <v>967</v>
      </c>
      <c r="C86" s="366"/>
      <c r="D86" s="393">
        <f>D72+D79+D82+D85</f>
        <v>12.3</v>
      </c>
      <c r="E86" s="393"/>
      <c r="F86" s="408">
        <f t="shared" ref="F86:H86" si="19">F72+F79+F82+F85</f>
        <v>71590</v>
      </c>
      <c r="G86" s="405">
        <f t="shared" si="19"/>
        <v>82993.200000000012</v>
      </c>
      <c r="H86" s="405">
        <f t="shared" si="19"/>
        <v>107891.16</v>
      </c>
    </row>
    <row r="87" spans="1:8" ht="15.75">
      <c r="A87" s="800" t="s">
        <v>107</v>
      </c>
      <c r="B87" s="800"/>
      <c r="C87" s="800"/>
      <c r="D87" s="800"/>
      <c r="E87" s="800"/>
      <c r="F87" s="800"/>
      <c r="G87" s="800"/>
      <c r="H87" s="800"/>
    </row>
    <row r="88" spans="1:8" ht="12.75" customHeight="1">
      <c r="A88" s="820" t="s">
        <v>997</v>
      </c>
      <c r="B88" s="821"/>
      <c r="C88" s="821"/>
      <c r="D88" s="821"/>
      <c r="E88" s="821"/>
      <c r="F88" s="821"/>
      <c r="G88" s="821"/>
      <c r="H88" s="822"/>
    </row>
    <row r="89" spans="1:8">
      <c r="A89" s="358">
        <v>1</v>
      </c>
      <c r="B89" s="367" t="s">
        <v>942</v>
      </c>
      <c r="C89" s="358" t="s">
        <v>933</v>
      </c>
      <c r="D89" s="394">
        <v>1</v>
      </c>
      <c r="E89" s="384">
        <v>1</v>
      </c>
      <c r="F89" s="379">
        <v>5820</v>
      </c>
      <c r="G89" s="379">
        <v>6693</v>
      </c>
      <c r="H89" s="380">
        <f t="shared" ref="H89:H108" si="20">G89*1.3</f>
        <v>8700.9</v>
      </c>
    </row>
    <row r="90" spans="1:8">
      <c r="A90" s="358">
        <f>A89+1</f>
        <v>2</v>
      </c>
      <c r="B90" s="367" t="s">
        <v>115</v>
      </c>
      <c r="C90" s="358" t="s">
        <v>933</v>
      </c>
      <c r="D90" s="394">
        <v>0.7</v>
      </c>
      <c r="E90" s="384">
        <v>1</v>
      </c>
      <c r="F90" s="379">
        <v>4074</v>
      </c>
      <c r="G90" s="379">
        <v>4685.1000000000004</v>
      </c>
      <c r="H90" s="380">
        <f t="shared" si="20"/>
        <v>6090.630000000001</v>
      </c>
    </row>
    <row r="91" spans="1:8">
      <c r="A91" s="358">
        <f>A90+1</f>
        <v>3</v>
      </c>
      <c r="B91" s="367" t="s">
        <v>120</v>
      </c>
      <c r="C91" s="358" t="s">
        <v>933</v>
      </c>
      <c r="D91" s="394">
        <v>0.5</v>
      </c>
      <c r="E91" s="384">
        <v>1</v>
      </c>
      <c r="F91" s="379">
        <v>2910</v>
      </c>
      <c r="G91" s="379">
        <v>3346.5</v>
      </c>
      <c r="H91" s="380">
        <f t="shared" si="20"/>
        <v>4350.45</v>
      </c>
    </row>
    <row r="92" spans="1:8">
      <c r="A92" s="358">
        <f>A91+1</f>
        <v>4</v>
      </c>
      <c r="B92" s="367" t="s">
        <v>117</v>
      </c>
      <c r="C92" s="358" t="s">
        <v>933</v>
      </c>
      <c r="D92" s="394">
        <v>0.3</v>
      </c>
      <c r="E92" s="384">
        <v>1</v>
      </c>
      <c r="F92" s="379">
        <v>1746</v>
      </c>
      <c r="G92" s="379">
        <v>2007.9</v>
      </c>
      <c r="H92" s="380">
        <f t="shared" si="20"/>
        <v>2610.27</v>
      </c>
    </row>
    <row r="93" spans="1:8">
      <c r="A93" s="789"/>
      <c r="B93" s="789"/>
      <c r="C93" s="789"/>
      <c r="D93" s="395">
        <f>SUM(D89:D92)</f>
        <v>2.5</v>
      </c>
      <c r="E93" s="385"/>
      <c r="F93" s="382">
        <f>SUM(F89:F92)</f>
        <v>14550</v>
      </c>
      <c r="G93" s="382">
        <f>SUM(G89:G92)</f>
        <v>16732.5</v>
      </c>
      <c r="H93" s="382">
        <f>SUM(H89:H92)</f>
        <v>21752.25</v>
      </c>
    </row>
    <row r="94" spans="1:8" ht="12.75" customHeight="1">
      <c r="A94" s="820" t="s">
        <v>121</v>
      </c>
      <c r="B94" s="821"/>
      <c r="C94" s="821"/>
      <c r="D94" s="821"/>
      <c r="E94" s="821"/>
      <c r="F94" s="821"/>
      <c r="G94" s="821"/>
      <c r="H94" s="822"/>
    </row>
    <row r="95" spans="1:8">
      <c r="A95" s="358">
        <f>A92+1</f>
        <v>5</v>
      </c>
      <c r="B95" s="367" t="s">
        <v>125</v>
      </c>
      <c r="C95" s="358" t="s">
        <v>933</v>
      </c>
      <c r="D95" s="394">
        <v>0.7</v>
      </c>
      <c r="E95" s="384">
        <v>1</v>
      </c>
      <c r="F95" s="379">
        <v>4074</v>
      </c>
      <c r="G95" s="379">
        <v>4685.1000000000004</v>
      </c>
      <c r="H95" s="380">
        <f t="shared" si="20"/>
        <v>6090.630000000001</v>
      </c>
    </row>
    <row r="96" spans="1:8">
      <c r="A96" s="358">
        <f>A95+1</f>
        <v>6</v>
      </c>
      <c r="B96" s="367" t="s">
        <v>123</v>
      </c>
      <c r="C96" s="358" t="s">
        <v>933</v>
      </c>
      <c r="D96" s="394">
        <v>0.7</v>
      </c>
      <c r="E96" s="384">
        <v>1</v>
      </c>
      <c r="F96" s="379">
        <v>4074</v>
      </c>
      <c r="G96" s="379">
        <v>4685.1000000000004</v>
      </c>
      <c r="H96" s="380">
        <f t="shared" si="20"/>
        <v>6090.630000000001</v>
      </c>
    </row>
    <row r="97" spans="1:8">
      <c r="A97" s="789"/>
      <c r="B97" s="789"/>
      <c r="C97" s="789"/>
      <c r="D97" s="395">
        <f>SUM(D95:D96)</f>
        <v>1.4</v>
      </c>
      <c r="E97" s="385"/>
      <c r="F97" s="382">
        <f>SUM(F95:F96)</f>
        <v>8148</v>
      </c>
      <c r="G97" s="382">
        <f>SUM(G95:G96)</f>
        <v>9370.2000000000007</v>
      </c>
      <c r="H97" s="382">
        <f>SUM(H95:H96)</f>
        <v>12181.260000000002</v>
      </c>
    </row>
    <row r="98" spans="1:8" ht="12.75" customHeight="1">
      <c r="A98" s="820" t="s">
        <v>126</v>
      </c>
      <c r="B98" s="821"/>
      <c r="C98" s="821"/>
      <c r="D98" s="821"/>
      <c r="E98" s="821"/>
      <c r="F98" s="821"/>
      <c r="G98" s="821"/>
      <c r="H98" s="822"/>
    </row>
    <row r="99" spans="1:8">
      <c r="A99" s="358">
        <f>A96+1</f>
        <v>7</v>
      </c>
      <c r="B99" s="367" t="s">
        <v>128</v>
      </c>
      <c r="C99" s="358" t="s">
        <v>933</v>
      </c>
      <c r="D99" s="394">
        <v>0.8</v>
      </c>
      <c r="E99" s="384">
        <v>1</v>
      </c>
      <c r="F99" s="379">
        <v>4656</v>
      </c>
      <c r="G99" s="379">
        <v>5354.4</v>
      </c>
      <c r="H99" s="380">
        <f t="shared" si="20"/>
        <v>6960.7199999999993</v>
      </c>
    </row>
    <row r="100" spans="1:8">
      <c r="A100" s="358">
        <f>A99+1</f>
        <v>8</v>
      </c>
      <c r="B100" s="367" t="s">
        <v>129</v>
      </c>
      <c r="C100" s="358" t="s">
        <v>933</v>
      </c>
      <c r="D100" s="394">
        <v>0.7</v>
      </c>
      <c r="E100" s="384">
        <v>1</v>
      </c>
      <c r="F100" s="379">
        <v>4074</v>
      </c>
      <c r="G100" s="379">
        <v>4685.1000000000004</v>
      </c>
      <c r="H100" s="380">
        <f t="shared" si="20"/>
        <v>6090.630000000001</v>
      </c>
    </row>
    <row r="101" spans="1:8">
      <c r="A101" s="789"/>
      <c r="B101" s="789"/>
      <c r="C101" s="789"/>
      <c r="D101" s="395">
        <f>SUM(D99:D100)</f>
        <v>1.5</v>
      </c>
      <c r="E101" s="385"/>
      <c r="F101" s="382">
        <f>SUM(F99:F100)</f>
        <v>8730</v>
      </c>
      <c r="G101" s="382">
        <f>SUM(G99:G100)</f>
        <v>10039.5</v>
      </c>
      <c r="H101" s="382">
        <f>SUM(H99:H100)</f>
        <v>13051.35</v>
      </c>
    </row>
    <row r="102" spans="1:8" ht="12.75" customHeight="1">
      <c r="A102" s="820" t="s">
        <v>131</v>
      </c>
      <c r="B102" s="821"/>
      <c r="C102" s="821"/>
      <c r="D102" s="821"/>
      <c r="E102" s="821"/>
      <c r="F102" s="821"/>
      <c r="G102" s="821"/>
      <c r="H102" s="822"/>
    </row>
    <row r="103" spans="1:8">
      <c r="A103" s="358">
        <f>A100+1</f>
        <v>9</v>
      </c>
      <c r="B103" s="367" t="s">
        <v>134</v>
      </c>
      <c r="C103" s="358" t="s">
        <v>933</v>
      </c>
      <c r="D103" s="394">
        <v>0.8</v>
      </c>
      <c r="E103" s="384">
        <v>1</v>
      </c>
      <c r="F103" s="379">
        <v>4656</v>
      </c>
      <c r="G103" s="379">
        <v>5354.4</v>
      </c>
      <c r="H103" s="380">
        <f t="shared" si="20"/>
        <v>6960.7199999999993</v>
      </c>
    </row>
    <row r="104" spans="1:8">
      <c r="A104" s="358">
        <f>A103+1</f>
        <v>10</v>
      </c>
      <c r="B104" s="367" t="s">
        <v>133</v>
      </c>
      <c r="C104" s="358" t="s">
        <v>933</v>
      </c>
      <c r="D104" s="394">
        <v>0.7</v>
      </c>
      <c r="E104" s="384">
        <v>1</v>
      </c>
      <c r="F104" s="379">
        <v>4074</v>
      </c>
      <c r="G104" s="379">
        <v>4685.1000000000004</v>
      </c>
      <c r="H104" s="380">
        <f t="shared" si="20"/>
        <v>6090.630000000001</v>
      </c>
    </row>
    <row r="105" spans="1:8">
      <c r="A105" s="789"/>
      <c r="B105" s="789"/>
      <c r="C105" s="789"/>
      <c r="D105" s="395">
        <f>SUM(D103:D104)</f>
        <v>1.5</v>
      </c>
      <c r="E105" s="385"/>
      <c r="F105" s="382">
        <f>SUM(F103:F104)</f>
        <v>8730</v>
      </c>
      <c r="G105" s="382">
        <f>SUM(G103:G104)</f>
        <v>10039.5</v>
      </c>
      <c r="H105" s="382">
        <f>SUM(H103:H104)</f>
        <v>13051.35</v>
      </c>
    </row>
    <row r="106" spans="1:8" ht="12.75" customHeight="1">
      <c r="A106" s="820" t="s">
        <v>135</v>
      </c>
      <c r="B106" s="821"/>
      <c r="C106" s="821"/>
      <c r="D106" s="821"/>
      <c r="E106" s="821"/>
      <c r="F106" s="821"/>
      <c r="G106" s="821"/>
      <c r="H106" s="822"/>
    </row>
    <row r="107" spans="1:8">
      <c r="A107" s="358">
        <f>A104+1</f>
        <v>11</v>
      </c>
      <c r="B107" s="367" t="s">
        <v>137</v>
      </c>
      <c r="C107" s="358" t="s">
        <v>933</v>
      </c>
      <c r="D107" s="394">
        <v>0.7</v>
      </c>
      <c r="E107" s="384">
        <v>1</v>
      </c>
      <c r="F107" s="379">
        <v>4074</v>
      </c>
      <c r="G107" s="379">
        <v>4685.1000000000004</v>
      </c>
      <c r="H107" s="380">
        <f t="shared" si="20"/>
        <v>6090.630000000001</v>
      </c>
    </row>
    <row r="108" spans="1:8">
      <c r="A108" s="358">
        <f>A107+1</f>
        <v>12</v>
      </c>
      <c r="B108" s="367" t="s">
        <v>138</v>
      </c>
      <c r="C108" s="358" t="s">
        <v>933</v>
      </c>
      <c r="D108" s="394">
        <v>0.5</v>
      </c>
      <c r="E108" s="384">
        <v>1</v>
      </c>
      <c r="F108" s="379">
        <v>2910</v>
      </c>
      <c r="G108" s="379">
        <v>3346.5</v>
      </c>
      <c r="H108" s="380">
        <f t="shared" si="20"/>
        <v>4350.45</v>
      </c>
    </row>
    <row r="109" spans="1:8">
      <c r="A109" s="789"/>
      <c r="B109" s="789"/>
      <c r="C109" s="789"/>
      <c r="D109" s="395">
        <f>SUM(D107:D108)</f>
        <v>1.2</v>
      </c>
      <c r="E109" s="385"/>
      <c r="F109" s="382">
        <f>SUM(F107:F108)</f>
        <v>6984</v>
      </c>
      <c r="G109" s="382">
        <f>SUM(G107:G108)</f>
        <v>8031.6</v>
      </c>
      <c r="H109" s="382">
        <f>SUM(H107:H108)</f>
        <v>10441.080000000002</v>
      </c>
    </row>
    <row r="110" spans="1:8" ht="12.75" customHeight="1">
      <c r="A110" s="372"/>
      <c r="B110" s="366" t="s">
        <v>967</v>
      </c>
      <c r="C110" s="369"/>
      <c r="D110" s="395">
        <f>D93+D97+D101+D105+D109</f>
        <v>8.1</v>
      </c>
      <c r="E110" s="385"/>
      <c r="F110" s="382">
        <f>F93+F97+F101+F105+F109</f>
        <v>47142</v>
      </c>
      <c r="G110" s="382">
        <f>G93+G97+G101+G105+G109</f>
        <v>54213.299999999996</v>
      </c>
      <c r="H110" s="382">
        <f>H93+H97+H101+H105+H109</f>
        <v>70477.290000000008</v>
      </c>
    </row>
    <row r="111" spans="1:8" ht="15.75">
      <c r="A111" s="705" t="s">
        <v>139</v>
      </c>
      <c r="B111" s="705"/>
      <c r="C111" s="705"/>
      <c r="D111" s="705"/>
      <c r="E111" s="705"/>
      <c r="F111" s="705"/>
      <c r="G111" s="705"/>
      <c r="H111" s="705"/>
    </row>
    <row r="112" spans="1:8">
      <c r="A112" s="683" t="s">
        <v>140</v>
      </c>
      <c r="B112" s="684"/>
      <c r="C112" s="684"/>
      <c r="D112" s="684"/>
      <c r="E112" s="684"/>
      <c r="F112" s="684"/>
      <c r="G112" s="684"/>
      <c r="H112" s="685"/>
    </row>
    <row r="113" spans="1:9">
      <c r="A113" s="364">
        <v>1</v>
      </c>
      <c r="B113" s="365" t="s">
        <v>152</v>
      </c>
      <c r="C113" s="365" t="s">
        <v>933</v>
      </c>
      <c r="D113" s="391">
        <v>0.5</v>
      </c>
      <c r="E113" s="369"/>
      <c r="F113" s="379">
        <f>5820*D113</f>
        <v>2910</v>
      </c>
      <c r="G113" s="379">
        <v>3346.5</v>
      </c>
      <c r="H113" s="380">
        <f>G113*1.3</f>
        <v>4350.45</v>
      </c>
    </row>
    <row r="114" spans="1:9">
      <c r="A114" s="364">
        <f>A113+1</f>
        <v>2</v>
      </c>
      <c r="B114" s="365" t="s">
        <v>142</v>
      </c>
      <c r="C114" s="365" t="s">
        <v>933</v>
      </c>
      <c r="D114" s="391">
        <v>0.5</v>
      </c>
      <c r="E114" s="369"/>
      <c r="F114" s="379">
        <f>5820*D114</f>
        <v>2910</v>
      </c>
      <c r="G114" s="379">
        <v>3346.5</v>
      </c>
      <c r="H114" s="380">
        <f t="shared" ref="H114:H126" si="21">G114*1.3</f>
        <v>4350.45</v>
      </c>
    </row>
    <row r="115" spans="1:9" s="363" customFormat="1">
      <c r="A115" s="373"/>
      <c r="B115" s="366"/>
      <c r="C115" s="366"/>
      <c r="D115" s="393">
        <f>SUM(D113:D114)</f>
        <v>1</v>
      </c>
      <c r="E115" s="374"/>
      <c r="F115" s="382">
        <f t="shared" ref="F115:I115" si="22">SUM(F113:F114)</f>
        <v>5820</v>
      </c>
      <c r="G115" s="382">
        <f t="shared" si="22"/>
        <v>6693</v>
      </c>
      <c r="H115" s="382">
        <f t="shared" si="22"/>
        <v>8700.9</v>
      </c>
      <c r="I115" s="373">
        <f t="shared" si="22"/>
        <v>0</v>
      </c>
    </row>
    <row r="116" spans="1:9">
      <c r="A116" s="683" t="s">
        <v>154</v>
      </c>
      <c r="B116" s="684"/>
      <c r="C116" s="684"/>
      <c r="D116" s="684"/>
      <c r="E116" s="684"/>
      <c r="F116" s="684"/>
      <c r="G116" s="684"/>
      <c r="H116" s="685"/>
    </row>
    <row r="117" spans="1:9">
      <c r="A117" s="364">
        <f>A114+1</f>
        <v>3</v>
      </c>
      <c r="B117" s="365" t="s">
        <v>156</v>
      </c>
      <c r="C117" s="365" t="s">
        <v>933</v>
      </c>
      <c r="D117" s="391">
        <v>1</v>
      </c>
      <c r="E117" s="369"/>
      <c r="F117" s="379">
        <v>5820</v>
      </c>
      <c r="G117" s="379">
        <f>F117*1.15</f>
        <v>6692.9999999999991</v>
      </c>
      <c r="H117" s="380">
        <f t="shared" si="21"/>
        <v>8700.9</v>
      </c>
    </row>
    <row r="118" spans="1:9">
      <c r="A118" s="373"/>
      <c r="B118" s="366"/>
      <c r="C118" s="366"/>
      <c r="D118" s="393">
        <f>SUM(D117)</f>
        <v>1</v>
      </c>
      <c r="E118" s="374"/>
      <c r="F118" s="382">
        <f t="shared" ref="F118:H118" si="23">SUM(F117)</f>
        <v>5820</v>
      </c>
      <c r="G118" s="382">
        <f t="shared" si="23"/>
        <v>6692.9999999999991</v>
      </c>
      <c r="H118" s="382">
        <f t="shared" si="23"/>
        <v>8700.9</v>
      </c>
    </row>
    <row r="119" spans="1:9">
      <c r="A119" s="683" t="s">
        <v>160</v>
      </c>
      <c r="B119" s="684"/>
      <c r="C119" s="684"/>
      <c r="D119" s="684"/>
      <c r="E119" s="684"/>
      <c r="F119" s="684"/>
      <c r="G119" s="684"/>
      <c r="H119" s="685"/>
    </row>
    <row r="120" spans="1:9">
      <c r="A120" s="364">
        <f>A117+1</f>
        <v>4</v>
      </c>
      <c r="B120" s="365" t="s">
        <v>162</v>
      </c>
      <c r="C120" s="365" t="s">
        <v>933</v>
      </c>
      <c r="D120" s="391">
        <v>1</v>
      </c>
      <c r="E120" s="369"/>
      <c r="F120" s="379">
        <v>5820</v>
      </c>
      <c r="G120" s="379">
        <f t="shared" ref="G120:G126" si="24">F120*1.15</f>
        <v>6692.9999999999991</v>
      </c>
      <c r="H120" s="380">
        <f t="shared" si="21"/>
        <v>8700.9</v>
      </c>
    </row>
    <row r="121" spans="1:9">
      <c r="A121" s="375"/>
      <c r="B121" s="375"/>
      <c r="C121" s="375"/>
      <c r="D121" s="396">
        <f>SUM(D120)</f>
        <v>1</v>
      </c>
      <c r="E121" s="382"/>
      <c r="F121" s="382">
        <f t="shared" ref="F121:H121" si="25">SUM(F120)</f>
        <v>5820</v>
      </c>
      <c r="G121" s="382">
        <f t="shared" si="25"/>
        <v>6692.9999999999991</v>
      </c>
      <c r="H121" s="382">
        <f t="shared" si="25"/>
        <v>8700.9</v>
      </c>
    </row>
    <row r="122" spans="1:9">
      <c r="A122" s="683" t="s">
        <v>164</v>
      </c>
      <c r="B122" s="684"/>
      <c r="C122" s="684"/>
      <c r="D122" s="684"/>
      <c r="E122" s="684"/>
      <c r="F122" s="684"/>
      <c r="G122" s="684"/>
      <c r="H122" s="685"/>
    </row>
    <row r="123" spans="1:9">
      <c r="A123" s="364">
        <f>A120+1</f>
        <v>5</v>
      </c>
      <c r="B123" s="365" t="s">
        <v>208</v>
      </c>
      <c r="C123" s="365" t="s">
        <v>933</v>
      </c>
      <c r="D123" s="391">
        <v>1</v>
      </c>
      <c r="E123" s="369">
        <v>1.5</v>
      </c>
      <c r="F123" s="379">
        <v>8730</v>
      </c>
      <c r="G123" s="379">
        <f t="shared" si="24"/>
        <v>10039.5</v>
      </c>
      <c r="H123" s="380">
        <f t="shared" si="21"/>
        <v>13051.35</v>
      </c>
    </row>
    <row r="124" spans="1:9">
      <c r="A124" s="364">
        <f>A123+1</f>
        <v>6</v>
      </c>
      <c r="B124" s="365" t="s">
        <v>166</v>
      </c>
      <c r="C124" s="365" t="s">
        <v>933</v>
      </c>
      <c r="D124" s="391">
        <v>1</v>
      </c>
      <c r="E124" s="369"/>
      <c r="F124" s="379">
        <v>5820</v>
      </c>
      <c r="G124" s="379">
        <f t="shared" si="24"/>
        <v>6692.9999999999991</v>
      </c>
      <c r="H124" s="380">
        <f t="shared" si="21"/>
        <v>8700.9</v>
      </c>
    </row>
    <row r="125" spans="1:9">
      <c r="A125" s="364">
        <f>A124+1</f>
        <v>7</v>
      </c>
      <c r="B125" s="365" t="s">
        <v>176</v>
      </c>
      <c r="C125" s="365" t="s">
        <v>933</v>
      </c>
      <c r="D125" s="391">
        <v>1</v>
      </c>
      <c r="E125" s="369"/>
      <c r="F125" s="379">
        <v>5820</v>
      </c>
      <c r="G125" s="379">
        <f t="shared" si="24"/>
        <v>6692.9999999999991</v>
      </c>
      <c r="H125" s="380">
        <f t="shared" si="21"/>
        <v>8700.9</v>
      </c>
    </row>
    <row r="126" spans="1:9">
      <c r="A126" s="364">
        <f>A125+1</f>
        <v>8</v>
      </c>
      <c r="B126" s="365" t="s">
        <v>172</v>
      </c>
      <c r="C126" s="365" t="s">
        <v>933</v>
      </c>
      <c r="D126" s="391">
        <v>0.7</v>
      </c>
      <c r="E126" s="369"/>
      <c r="F126" s="379">
        <v>4074</v>
      </c>
      <c r="G126" s="379">
        <f t="shared" si="24"/>
        <v>4685.0999999999995</v>
      </c>
      <c r="H126" s="380">
        <f t="shared" si="21"/>
        <v>6090.6299999999992</v>
      </c>
    </row>
    <row r="127" spans="1:9" s="363" customFormat="1">
      <c r="A127" s="373"/>
      <c r="B127" s="366"/>
      <c r="C127" s="366"/>
      <c r="D127" s="393">
        <f>SUM(D123:D126)</f>
        <v>3.7</v>
      </c>
      <c r="E127" s="374"/>
      <c r="F127" s="409">
        <f>SUM(F123:F126)</f>
        <v>24444</v>
      </c>
      <c r="G127" s="409">
        <f t="shared" ref="G127:I127" si="26">SUM(G123:G126)</f>
        <v>28110.6</v>
      </c>
      <c r="H127" s="409">
        <f t="shared" si="26"/>
        <v>36543.78</v>
      </c>
      <c r="I127" s="386">
        <f t="shared" si="26"/>
        <v>0</v>
      </c>
    </row>
    <row r="128" spans="1:9">
      <c r="A128" s="373"/>
      <c r="B128" s="366"/>
      <c r="C128" s="366"/>
      <c r="D128" s="389">
        <f>D115+D118+D121+D127</f>
        <v>6.7</v>
      </c>
      <c r="E128" s="387"/>
      <c r="F128" s="387">
        <f t="shared" ref="F128" si="27">F115+F118+F121+F127</f>
        <v>41904</v>
      </c>
      <c r="G128" s="387">
        <f t="shared" ref="G128" si="28">G115+G118+G121+G127</f>
        <v>48189.599999999999</v>
      </c>
      <c r="H128" s="387">
        <f t="shared" ref="H128" si="29">H115+H118+H121+H127</f>
        <v>62646.479999999996</v>
      </c>
    </row>
    <row r="129" spans="1:8" ht="15.75">
      <c r="A129" s="712" t="s">
        <v>664</v>
      </c>
      <c r="B129" s="713"/>
      <c r="C129" s="713"/>
      <c r="D129" s="713"/>
      <c r="E129" s="713"/>
      <c r="F129" s="713"/>
      <c r="G129" s="713"/>
      <c r="H129" s="714"/>
    </row>
    <row r="130" spans="1:8">
      <c r="A130" s="820" t="s">
        <v>681</v>
      </c>
      <c r="B130" s="821"/>
      <c r="C130" s="821"/>
      <c r="D130" s="821"/>
      <c r="E130" s="821"/>
      <c r="F130" s="821"/>
      <c r="G130" s="821"/>
      <c r="H130" s="822"/>
    </row>
    <row r="131" spans="1:8">
      <c r="A131" s="358">
        <v>1</v>
      </c>
      <c r="B131" s="359" t="s">
        <v>213</v>
      </c>
      <c r="C131" s="359" t="s">
        <v>943</v>
      </c>
      <c r="D131" s="391">
        <v>1</v>
      </c>
      <c r="E131" s="369">
        <v>1</v>
      </c>
      <c r="F131" s="379">
        <v>5820</v>
      </c>
      <c r="G131" s="379">
        <f t="shared" ref="G131:G139" si="30">F131*1.15</f>
        <v>6692.9999999999991</v>
      </c>
      <c r="H131" s="380">
        <f t="shared" ref="H131:H145" si="31">G131*1.3</f>
        <v>8700.9</v>
      </c>
    </row>
    <row r="132" spans="1:8">
      <c r="A132" s="358">
        <v>2</v>
      </c>
      <c r="B132" s="359" t="s">
        <v>220</v>
      </c>
      <c r="C132" s="359" t="s">
        <v>943</v>
      </c>
      <c r="D132" s="391">
        <v>1</v>
      </c>
      <c r="E132" s="369">
        <v>1.2</v>
      </c>
      <c r="F132" s="379">
        <v>6985</v>
      </c>
      <c r="G132" s="379">
        <f t="shared" si="30"/>
        <v>8032.7499999999991</v>
      </c>
      <c r="H132" s="380">
        <f t="shared" si="31"/>
        <v>10442.574999999999</v>
      </c>
    </row>
    <row r="133" spans="1:8">
      <c r="A133" s="358">
        <v>3</v>
      </c>
      <c r="B133" s="359" t="s">
        <v>250</v>
      </c>
      <c r="C133" s="359" t="s">
        <v>943</v>
      </c>
      <c r="D133" s="391">
        <v>1</v>
      </c>
      <c r="E133" s="369">
        <v>1</v>
      </c>
      <c r="F133" s="379">
        <v>5820</v>
      </c>
      <c r="G133" s="379">
        <f t="shared" si="30"/>
        <v>6692.9999999999991</v>
      </c>
      <c r="H133" s="380">
        <f t="shared" si="31"/>
        <v>8700.9</v>
      </c>
    </row>
    <row r="134" spans="1:8">
      <c r="A134" s="358">
        <v>4</v>
      </c>
      <c r="B134" s="359" t="s">
        <v>232</v>
      </c>
      <c r="C134" s="359" t="s">
        <v>943</v>
      </c>
      <c r="D134" s="391">
        <v>0.9</v>
      </c>
      <c r="E134" s="369">
        <v>1</v>
      </c>
      <c r="F134" s="379">
        <v>5240</v>
      </c>
      <c r="G134" s="379">
        <f t="shared" si="30"/>
        <v>6025.9999999999991</v>
      </c>
      <c r="H134" s="380">
        <f t="shared" si="31"/>
        <v>7833.7999999999993</v>
      </c>
    </row>
    <row r="135" spans="1:8" ht="25.5">
      <c r="A135" s="358">
        <v>5</v>
      </c>
      <c r="B135" s="359" t="s">
        <v>1004</v>
      </c>
      <c r="C135" s="359" t="s">
        <v>943</v>
      </c>
      <c r="D135" s="391">
        <v>0.6</v>
      </c>
      <c r="E135" s="369">
        <v>1</v>
      </c>
      <c r="F135" s="379">
        <v>3490</v>
      </c>
      <c r="G135" s="379">
        <f t="shared" si="30"/>
        <v>4013.4999999999995</v>
      </c>
      <c r="H135" s="380">
        <f t="shared" si="31"/>
        <v>5217.5499999999993</v>
      </c>
    </row>
    <row r="136" spans="1:8">
      <c r="A136" s="358">
        <v>6</v>
      </c>
      <c r="B136" s="359" t="s">
        <v>268</v>
      </c>
      <c r="C136" s="359" t="s">
        <v>943</v>
      </c>
      <c r="D136" s="391">
        <v>0.6</v>
      </c>
      <c r="E136" s="369">
        <v>1</v>
      </c>
      <c r="F136" s="379">
        <v>3490</v>
      </c>
      <c r="G136" s="379">
        <f t="shared" si="30"/>
        <v>4013.4999999999995</v>
      </c>
      <c r="H136" s="380">
        <f t="shared" si="31"/>
        <v>5217.5499999999993</v>
      </c>
    </row>
    <row r="137" spans="1:8">
      <c r="A137" s="358">
        <v>7</v>
      </c>
      <c r="B137" s="359" t="s">
        <v>270</v>
      </c>
      <c r="C137" s="359" t="s">
        <v>943</v>
      </c>
      <c r="D137" s="391">
        <v>0.4</v>
      </c>
      <c r="E137" s="369">
        <v>1</v>
      </c>
      <c r="F137" s="379">
        <v>2330</v>
      </c>
      <c r="G137" s="379">
        <f t="shared" si="30"/>
        <v>2679.5</v>
      </c>
      <c r="H137" s="380">
        <f t="shared" si="31"/>
        <v>3483.35</v>
      </c>
    </row>
    <row r="138" spans="1:8">
      <c r="A138" s="358">
        <v>8</v>
      </c>
      <c r="B138" s="359" t="s">
        <v>272</v>
      </c>
      <c r="C138" s="359" t="s">
        <v>943</v>
      </c>
      <c r="D138" s="391">
        <v>0.9</v>
      </c>
      <c r="E138" s="369">
        <v>1</v>
      </c>
      <c r="F138" s="379">
        <v>5240</v>
      </c>
      <c r="G138" s="379">
        <f t="shared" si="30"/>
        <v>6025.9999999999991</v>
      </c>
      <c r="H138" s="380">
        <f t="shared" si="31"/>
        <v>7833.7999999999993</v>
      </c>
    </row>
    <row r="139" spans="1:8">
      <c r="A139" s="358">
        <v>9</v>
      </c>
      <c r="B139" s="359" t="s">
        <v>894</v>
      </c>
      <c r="C139" s="359" t="s">
        <v>943</v>
      </c>
      <c r="D139" s="391">
        <v>1</v>
      </c>
      <c r="E139" s="369">
        <v>1</v>
      </c>
      <c r="F139" s="379">
        <f>5820*D139</f>
        <v>5820</v>
      </c>
      <c r="G139" s="379">
        <f t="shared" si="30"/>
        <v>6692.9999999999991</v>
      </c>
      <c r="H139" s="380">
        <f t="shared" si="31"/>
        <v>8700.9</v>
      </c>
    </row>
    <row r="140" spans="1:8">
      <c r="A140" s="358">
        <v>10</v>
      </c>
      <c r="B140" s="359" t="s">
        <v>284</v>
      </c>
      <c r="C140" s="359" t="s">
        <v>943</v>
      </c>
      <c r="D140" s="391">
        <v>1</v>
      </c>
      <c r="E140" s="369">
        <v>1.1000000000000001</v>
      </c>
      <c r="F140" s="379">
        <v>6402</v>
      </c>
      <c r="G140" s="379">
        <f t="shared" ref="G140:G145" si="32">F140*1.15</f>
        <v>7362.2999999999993</v>
      </c>
      <c r="H140" s="380">
        <f t="shared" si="31"/>
        <v>9570.99</v>
      </c>
    </row>
    <row r="141" spans="1:8">
      <c r="A141" s="358">
        <v>11</v>
      </c>
      <c r="B141" s="359" t="s">
        <v>293</v>
      </c>
      <c r="C141" s="359" t="s">
        <v>943</v>
      </c>
      <c r="D141" s="391">
        <v>1</v>
      </c>
      <c r="E141" s="369">
        <v>1</v>
      </c>
      <c r="F141" s="379">
        <f>5820*D141</f>
        <v>5820</v>
      </c>
      <c r="G141" s="379">
        <f t="shared" si="32"/>
        <v>6692.9999999999991</v>
      </c>
      <c r="H141" s="380">
        <f t="shared" si="31"/>
        <v>8700.9</v>
      </c>
    </row>
    <row r="142" spans="1:8">
      <c r="A142" s="358">
        <v>12</v>
      </c>
      <c r="B142" s="359" t="s">
        <v>299</v>
      </c>
      <c r="C142" s="359" t="s">
        <v>943</v>
      </c>
      <c r="D142" s="391">
        <v>1</v>
      </c>
      <c r="E142" s="369">
        <v>1</v>
      </c>
      <c r="F142" s="379">
        <f>5820*D142</f>
        <v>5820</v>
      </c>
      <c r="G142" s="379">
        <f t="shared" si="32"/>
        <v>6692.9999999999991</v>
      </c>
      <c r="H142" s="380">
        <f t="shared" si="31"/>
        <v>8700.9</v>
      </c>
    </row>
    <row r="143" spans="1:8">
      <c r="A143" s="358">
        <v>13</v>
      </c>
      <c r="B143" s="359" t="s">
        <v>978</v>
      </c>
      <c r="C143" s="359" t="s">
        <v>943</v>
      </c>
      <c r="D143" s="391">
        <v>1</v>
      </c>
      <c r="E143" s="369">
        <v>1</v>
      </c>
      <c r="F143" s="379">
        <f>5820*D143</f>
        <v>5820</v>
      </c>
      <c r="G143" s="379">
        <f t="shared" si="32"/>
        <v>6692.9999999999991</v>
      </c>
      <c r="H143" s="380">
        <f t="shared" si="31"/>
        <v>8700.9</v>
      </c>
    </row>
    <row r="144" spans="1:8">
      <c r="A144" s="358">
        <v>14</v>
      </c>
      <c r="B144" s="359" t="s">
        <v>303</v>
      </c>
      <c r="C144" s="359" t="s">
        <v>943</v>
      </c>
      <c r="D144" s="391">
        <v>1</v>
      </c>
      <c r="E144" s="369">
        <v>1.1000000000000001</v>
      </c>
      <c r="F144" s="379">
        <v>6402</v>
      </c>
      <c r="G144" s="379">
        <f t="shared" si="32"/>
        <v>7362.2999999999993</v>
      </c>
      <c r="H144" s="380">
        <f t="shared" si="31"/>
        <v>9570.99</v>
      </c>
    </row>
    <row r="145" spans="1:8">
      <c r="A145" s="358">
        <v>15</v>
      </c>
      <c r="B145" s="359" t="s">
        <v>306</v>
      </c>
      <c r="C145" s="359" t="s">
        <v>943</v>
      </c>
      <c r="D145" s="391">
        <v>1</v>
      </c>
      <c r="E145" s="369">
        <v>1</v>
      </c>
      <c r="F145" s="379">
        <f>5820*D145</f>
        <v>5820</v>
      </c>
      <c r="G145" s="379">
        <f t="shared" si="32"/>
        <v>6692.9999999999991</v>
      </c>
      <c r="H145" s="380">
        <f t="shared" si="31"/>
        <v>8700.9</v>
      </c>
    </row>
    <row r="146" spans="1:8">
      <c r="A146" s="789"/>
      <c r="B146" s="789"/>
      <c r="C146" s="789"/>
      <c r="D146" s="393">
        <f>SUM(D131:D145)</f>
        <v>13.4</v>
      </c>
      <c r="E146" s="374"/>
      <c r="F146" s="409">
        <f t="shared" ref="F146:H146" si="33">SUM(F131:F145)</f>
        <v>80319</v>
      </c>
      <c r="G146" s="409">
        <f t="shared" si="33"/>
        <v>92366.849999999991</v>
      </c>
      <c r="H146" s="409">
        <f t="shared" si="33"/>
        <v>120076.90499999998</v>
      </c>
    </row>
    <row r="147" spans="1:8">
      <c r="A147" s="820" t="s">
        <v>665</v>
      </c>
      <c r="B147" s="821"/>
      <c r="C147" s="821"/>
      <c r="D147" s="821"/>
      <c r="E147" s="821"/>
      <c r="F147" s="821"/>
      <c r="G147" s="821"/>
      <c r="H147" s="822"/>
    </row>
    <row r="148" spans="1:8">
      <c r="A148" s="358">
        <v>16</v>
      </c>
      <c r="B148" s="359" t="s">
        <v>968</v>
      </c>
      <c r="C148" s="359" t="s">
        <v>943</v>
      </c>
      <c r="D148" s="391">
        <v>1</v>
      </c>
      <c r="E148" s="369">
        <v>1</v>
      </c>
      <c r="F148" s="379">
        <f>5820*D148</f>
        <v>5820</v>
      </c>
      <c r="G148" s="379">
        <f t="shared" ref="G148:G153" si="34">F148*1.15</f>
        <v>6692.9999999999991</v>
      </c>
      <c r="H148" s="380">
        <f t="shared" ref="H148:H153" si="35">G148*1.3</f>
        <v>8700.9</v>
      </c>
    </row>
    <row r="149" spans="1:8">
      <c r="A149" s="358">
        <v>17</v>
      </c>
      <c r="B149" s="359" t="s">
        <v>308</v>
      </c>
      <c r="C149" s="359" t="s">
        <v>943</v>
      </c>
      <c r="D149" s="391">
        <v>0.9</v>
      </c>
      <c r="E149" s="369">
        <v>1</v>
      </c>
      <c r="F149" s="379">
        <v>5240</v>
      </c>
      <c r="G149" s="379">
        <f t="shared" si="34"/>
        <v>6025.9999999999991</v>
      </c>
      <c r="H149" s="380">
        <f t="shared" si="35"/>
        <v>7833.7999999999993</v>
      </c>
    </row>
    <row r="150" spans="1:8">
      <c r="A150" s="358">
        <v>18</v>
      </c>
      <c r="B150" s="359" t="s">
        <v>317</v>
      </c>
      <c r="C150" s="359" t="s">
        <v>943</v>
      </c>
      <c r="D150" s="391">
        <v>0.2</v>
      </c>
      <c r="E150" s="369">
        <v>1</v>
      </c>
      <c r="F150" s="379">
        <v>1160</v>
      </c>
      <c r="G150" s="379">
        <f t="shared" si="34"/>
        <v>1334</v>
      </c>
      <c r="H150" s="380">
        <f t="shared" si="35"/>
        <v>1734.2</v>
      </c>
    </row>
    <row r="151" spans="1:8">
      <c r="A151" s="358">
        <v>19</v>
      </c>
      <c r="B151" s="359" t="s">
        <v>320</v>
      </c>
      <c r="C151" s="359" t="s">
        <v>943</v>
      </c>
      <c r="D151" s="391">
        <v>0.5</v>
      </c>
      <c r="E151" s="369">
        <v>1</v>
      </c>
      <c r="F151" s="379">
        <f>5820*D151</f>
        <v>2910</v>
      </c>
      <c r="G151" s="379">
        <f t="shared" si="34"/>
        <v>3346.4999999999995</v>
      </c>
      <c r="H151" s="380">
        <f t="shared" si="35"/>
        <v>4350.45</v>
      </c>
    </row>
    <row r="152" spans="1:8">
      <c r="A152" s="358">
        <v>20</v>
      </c>
      <c r="B152" s="359" t="s">
        <v>314</v>
      </c>
      <c r="C152" s="359" t="s">
        <v>943</v>
      </c>
      <c r="D152" s="391">
        <v>1</v>
      </c>
      <c r="E152" s="369">
        <v>1</v>
      </c>
      <c r="F152" s="379">
        <f>5820*D152</f>
        <v>5820</v>
      </c>
      <c r="G152" s="379">
        <f t="shared" si="34"/>
        <v>6692.9999999999991</v>
      </c>
      <c r="H152" s="380">
        <f t="shared" si="35"/>
        <v>8700.9</v>
      </c>
    </row>
    <row r="153" spans="1:8" ht="25.5">
      <c r="A153" s="358">
        <v>21</v>
      </c>
      <c r="B153" s="359" t="s">
        <v>969</v>
      </c>
      <c r="C153" s="359" t="s">
        <v>943</v>
      </c>
      <c r="D153" s="391">
        <v>0.6</v>
      </c>
      <c r="E153" s="369">
        <v>1</v>
      </c>
      <c r="F153" s="379">
        <v>3490</v>
      </c>
      <c r="G153" s="379">
        <f t="shared" si="34"/>
        <v>4013.4999999999995</v>
      </c>
      <c r="H153" s="380">
        <f t="shared" si="35"/>
        <v>5217.5499999999993</v>
      </c>
    </row>
    <row r="154" spans="1:8" s="363" customFormat="1">
      <c r="A154" s="789"/>
      <c r="B154" s="789"/>
      <c r="C154" s="789"/>
      <c r="D154" s="393">
        <f>SUM(D148:D153)</f>
        <v>4.2</v>
      </c>
      <c r="E154" s="374"/>
      <c r="F154" s="382">
        <f>SUM(F148:F153)</f>
        <v>24440</v>
      </c>
      <c r="G154" s="382">
        <f>SUM(G148:G153)</f>
        <v>28105.999999999996</v>
      </c>
      <c r="H154" s="382">
        <f>SUM(H148:H153)</f>
        <v>36537.800000000003</v>
      </c>
    </row>
    <row r="155" spans="1:8">
      <c r="A155" s="820" t="s">
        <v>666</v>
      </c>
      <c r="B155" s="821"/>
      <c r="C155" s="821"/>
      <c r="D155" s="821"/>
      <c r="E155" s="821"/>
      <c r="F155" s="821"/>
      <c r="G155" s="821"/>
      <c r="H155" s="822"/>
    </row>
    <row r="156" spans="1:8">
      <c r="A156" s="358">
        <v>22</v>
      </c>
      <c r="B156" s="359" t="s">
        <v>322</v>
      </c>
      <c r="C156" s="359" t="s">
        <v>943</v>
      </c>
      <c r="D156" s="391">
        <v>1</v>
      </c>
      <c r="E156" s="369">
        <v>1.1000000000000001</v>
      </c>
      <c r="F156" s="379">
        <v>6402</v>
      </c>
      <c r="G156" s="379">
        <f>F156*1.15</f>
        <v>7362.2999999999993</v>
      </c>
      <c r="H156" s="380">
        <f t="shared" ref="H156" si="36">G156*1.3</f>
        <v>9570.99</v>
      </c>
    </row>
    <row r="157" spans="1:8">
      <c r="A157" s="789"/>
      <c r="B157" s="789"/>
      <c r="C157" s="789"/>
      <c r="D157" s="393">
        <f>D156</f>
        <v>1</v>
      </c>
      <c r="E157" s="388"/>
      <c r="F157" s="409">
        <f t="shared" ref="F157:H157" si="37">F156</f>
        <v>6402</v>
      </c>
      <c r="G157" s="409">
        <f t="shared" si="37"/>
        <v>7362.2999999999993</v>
      </c>
      <c r="H157" s="409">
        <f t="shared" si="37"/>
        <v>9570.99</v>
      </c>
    </row>
    <row r="158" spans="1:8">
      <c r="A158" s="820" t="s">
        <v>667</v>
      </c>
      <c r="B158" s="821"/>
      <c r="C158" s="821"/>
      <c r="D158" s="821"/>
      <c r="E158" s="821"/>
      <c r="F158" s="821"/>
      <c r="G158" s="821"/>
      <c r="H158" s="822"/>
    </row>
    <row r="159" spans="1:8">
      <c r="A159" s="358">
        <v>23</v>
      </c>
      <c r="B159" s="359" t="s">
        <v>348</v>
      </c>
      <c r="C159" s="359" t="s">
        <v>943</v>
      </c>
      <c r="D159" s="391">
        <v>1</v>
      </c>
      <c r="E159" s="369">
        <v>1</v>
      </c>
      <c r="F159" s="379">
        <f>5820*D159</f>
        <v>5820</v>
      </c>
      <c r="G159" s="379">
        <f>F159*1.15</f>
        <v>6692.9999999999991</v>
      </c>
      <c r="H159" s="380">
        <f t="shared" ref="H159:H165" si="38">G159*1.3</f>
        <v>8700.9</v>
      </c>
    </row>
    <row r="160" spans="1:8">
      <c r="A160" s="358">
        <v>24</v>
      </c>
      <c r="B160" s="359" t="s">
        <v>325</v>
      </c>
      <c r="C160" s="359" t="s">
        <v>943</v>
      </c>
      <c r="D160" s="391">
        <v>0.9</v>
      </c>
      <c r="E160" s="369">
        <v>1</v>
      </c>
      <c r="F160" s="379">
        <v>5240</v>
      </c>
      <c r="G160" s="379">
        <f t="shared" ref="G160:G165" si="39">F160*1.15</f>
        <v>6025.9999999999991</v>
      </c>
      <c r="H160" s="380">
        <f t="shared" si="38"/>
        <v>7833.7999999999993</v>
      </c>
    </row>
    <row r="161" spans="1:9">
      <c r="A161" s="358">
        <v>25</v>
      </c>
      <c r="B161" s="359" t="s">
        <v>328</v>
      </c>
      <c r="C161" s="359" t="s">
        <v>943</v>
      </c>
      <c r="D161" s="391">
        <v>0.9</v>
      </c>
      <c r="E161" s="369">
        <v>1</v>
      </c>
      <c r="F161" s="379">
        <v>5240</v>
      </c>
      <c r="G161" s="379">
        <f t="shared" si="39"/>
        <v>6025.9999999999991</v>
      </c>
      <c r="H161" s="380">
        <f t="shared" si="38"/>
        <v>7833.7999999999993</v>
      </c>
    </row>
    <row r="162" spans="1:9">
      <c r="A162" s="358">
        <v>26</v>
      </c>
      <c r="B162" s="359" t="s">
        <v>354</v>
      </c>
      <c r="C162" s="359" t="s">
        <v>943</v>
      </c>
      <c r="D162" s="391">
        <v>0.85</v>
      </c>
      <c r="E162" s="369">
        <v>1</v>
      </c>
      <c r="F162" s="379">
        <v>4950</v>
      </c>
      <c r="G162" s="379">
        <f t="shared" si="39"/>
        <v>5692.5</v>
      </c>
      <c r="H162" s="380">
        <f t="shared" si="38"/>
        <v>7400.25</v>
      </c>
    </row>
    <row r="163" spans="1:9">
      <c r="A163" s="358">
        <v>27</v>
      </c>
      <c r="B163" s="359" t="s">
        <v>352</v>
      </c>
      <c r="C163" s="359" t="s">
        <v>943</v>
      </c>
      <c r="D163" s="391">
        <v>0.85</v>
      </c>
      <c r="E163" s="369">
        <v>1</v>
      </c>
      <c r="F163" s="379">
        <v>4950</v>
      </c>
      <c r="G163" s="379">
        <f t="shared" si="39"/>
        <v>5692.5</v>
      </c>
      <c r="H163" s="380">
        <f t="shared" si="38"/>
        <v>7400.25</v>
      </c>
    </row>
    <row r="164" spans="1:9">
      <c r="A164" s="358">
        <v>28</v>
      </c>
      <c r="B164" s="359" t="s">
        <v>897</v>
      </c>
      <c r="C164" s="359" t="s">
        <v>943</v>
      </c>
      <c r="D164" s="391">
        <v>0.8</v>
      </c>
      <c r="E164" s="369">
        <v>1</v>
      </c>
      <c r="F164" s="379">
        <v>4660</v>
      </c>
      <c r="G164" s="379">
        <f t="shared" si="39"/>
        <v>5359</v>
      </c>
      <c r="H164" s="380">
        <f t="shared" si="38"/>
        <v>6966.7</v>
      </c>
    </row>
    <row r="165" spans="1:9">
      <c r="A165" s="358">
        <v>29</v>
      </c>
      <c r="B165" s="359" t="s">
        <v>335</v>
      </c>
      <c r="C165" s="359" t="s">
        <v>943</v>
      </c>
      <c r="D165" s="391">
        <v>0.9</v>
      </c>
      <c r="E165" s="369">
        <v>1</v>
      </c>
      <c r="F165" s="379">
        <v>5240</v>
      </c>
      <c r="G165" s="379">
        <f t="shared" si="39"/>
        <v>6025.9999999999991</v>
      </c>
      <c r="H165" s="380">
        <f t="shared" si="38"/>
        <v>7833.7999999999993</v>
      </c>
    </row>
    <row r="166" spans="1:9">
      <c r="A166" s="789"/>
      <c r="B166" s="789"/>
      <c r="C166" s="789"/>
      <c r="D166" s="388">
        <f>SUM(D159:D165)</f>
        <v>6.2</v>
      </c>
      <c r="E166" s="388"/>
      <c r="F166" s="400">
        <f>SUM(F159:F165)</f>
        <v>36100</v>
      </c>
      <c r="G166" s="400">
        <f t="shared" ref="G166:H166" si="40">SUM(G159:G165)</f>
        <v>41515</v>
      </c>
      <c r="H166" s="400">
        <f t="shared" si="40"/>
        <v>53969.5</v>
      </c>
    </row>
    <row r="167" spans="1:9">
      <c r="A167" s="820" t="s">
        <v>670</v>
      </c>
      <c r="B167" s="821"/>
      <c r="C167" s="821"/>
      <c r="D167" s="821"/>
      <c r="E167" s="821"/>
      <c r="F167" s="821"/>
      <c r="G167" s="821"/>
      <c r="H167" s="822"/>
    </row>
    <row r="168" spans="1:9">
      <c r="A168" s="358">
        <v>30</v>
      </c>
      <c r="B168" s="359" t="s">
        <v>359</v>
      </c>
      <c r="C168" s="359" t="s">
        <v>943</v>
      </c>
      <c r="D168" s="391">
        <v>0.7</v>
      </c>
      <c r="E168" s="369">
        <v>1</v>
      </c>
      <c r="F168" s="379">
        <v>4080</v>
      </c>
      <c r="G168" s="379">
        <f>F168*1.15</f>
        <v>4692</v>
      </c>
      <c r="H168" s="380">
        <f t="shared" ref="H168:H169" si="41">G168*1.3</f>
        <v>6099.6</v>
      </c>
    </row>
    <row r="169" spans="1:9">
      <c r="A169" s="358">
        <v>31</v>
      </c>
      <c r="B169" s="359" t="s">
        <v>360</v>
      </c>
      <c r="C169" s="359" t="s">
        <v>943</v>
      </c>
      <c r="D169" s="391">
        <v>0.3</v>
      </c>
      <c r="E169" s="369">
        <v>1</v>
      </c>
      <c r="F169" s="379">
        <v>1750</v>
      </c>
      <c r="G169" s="379">
        <f>F169*1.15</f>
        <v>2012.4999999999998</v>
      </c>
      <c r="H169" s="380">
        <f t="shared" si="41"/>
        <v>2616.25</v>
      </c>
    </row>
    <row r="170" spans="1:9">
      <c r="A170" s="789"/>
      <c r="B170" s="789"/>
      <c r="C170" s="789"/>
      <c r="D170" s="393">
        <f>SUM(D168:D169)</f>
        <v>1</v>
      </c>
      <c r="E170" s="374"/>
      <c r="F170" s="382">
        <f>SUM(F168:F169)</f>
        <v>5830</v>
      </c>
      <c r="G170" s="382">
        <f>SUM(G168:G169)</f>
        <v>6704.5</v>
      </c>
      <c r="H170" s="382">
        <f>SUM(H168:H169)</f>
        <v>8715.85</v>
      </c>
    </row>
    <row r="171" spans="1:9">
      <c r="A171" s="820" t="s">
        <v>672</v>
      </c>
      <c r="B171" s="821"/>
      <c r="C171" s="821"/>
      <c r="D171" s="821"/>
      <c r="E171" s="821"/>
      <c r="F171" s="821"/>
      <c r="G171" s="821"/>
      <c r="H171" s="822"/>
    </row>
    <row r="172" spans="1:9">
      <c r="A172" s="358">
        <v>32</v>
      </c>
      <c r="B172" s="359" t="s">
        <v>900</v>
      </c>
      <c r="C172" s="359" t="s">
        <v>943</v>
      </c>
      <c r="D172" s="391">
        <v>0.8</v>
      </c>
      <c r="E172" s="369">
        <v>1</v>
      </c>
      <c r="F172" s="379">
        <v>4660</v>
      </c>
      <c r="G172" s="379">
        <f>F172*1.15</f>
        <v>5359</v>
      </c>
      <c r="H172" s="380">
        <f t="shared" ref="H172" si="42">G172*1.3</f>
        <v>6966.7</v>
      </c>
    </row>
    <row r="173" spans="1:9">
      <c r="A173" s="789"/>
      <c r="B173" s="789"/>
      <c r="C173" s="789"/>
      <c r="D173" s="393">
        <f>SUM(D171:D172)</f>
        <v>0.8</v>
      </c>
      <c r="E173" s="374"/>
      <c r="F173" s="382">
        <f>SUM(F171:F172)</f>
        <v>4660</v>
      </c>
      <c r="G173" s="382">
        <f>SUM(G171:G172)</f>
        <v>5359</v>
      </c>
      <c r="H173" s="382">
        <f>SUM(H171:H172)</f>
        <v>6966.7</v>
      </c>
    </row>
    <row r="174" spans="1:9">
      <c r="A174" s="820" t="s">
        <v>674</v>
      </c>
      <c r="B174" s="821"/>
      <c r="C174" s="821"/>
      <c r="D174" s="821"/>
      <c r="E174" s="821"/>
      <c r="F174" s="821"/>
      <c r="G174" s="821"/>
      <c r="H174" s="822"/>
    </row>
    <row r="175" spans="1:9">
      <c r="A175" s="358">
        <v>33</v>
      </c>
      <c r="B175" s="359" t="s">
        <v>361</v>
      </c>
      <c r="C175" s="359" t="s">
        <v>943</v>
      </c>
      <c r="D175" s="391">
        <v>0.8</v>
      </c>
      <c r="E175" s="369">
        <v>1</v>
      </c>
      <c r="F175" s="379">
        <v>4660</v>
      </c>
      <c r="G175" s="379">
        <f>F175*1.15</f>
        <v>5359</v>
      </c>
      <c r="H175" s="380">
        <f t="shared" ref="H175" si="43">G175*1.3</f>
        <v>6966.7</v>
      </c>
    </row>
    <row r="176" spans="1:9">
      <c r="A176" s="789"/>
      <c r="B176" s="789"/>
      <c r="C176" s="789"/>
      <c r="D176" s="393">
        <f>SUM(D174:D175)</f>
        <v>0.8</v>
      </c>
      <c r="E176" s="374"/>
      <c r="F176" s="382">
        <f>SUM(F174:F175)</f>
        <v>4660</v>
      </c>
      <c r="G176" s="382">
        <f>SUM(G174:G175)</f>
        <v>5359</v>
      </c>
      <c r="H176" s="382">
        <f t="shared" ref="H176:I176" si="44">SUM(H174:H175)</f>
        <v>6966.7</v>
      </c>
      <c r="I176" s="382">
        <f t="shared" si="44"/>
        <v>0</v>
      </c>
    </row>
    <row r="177" spans="1:9">
      <c r="A177" s="836" t="s">
        <v>971</v>
      </c>
      <c r="B177" s="837"/>
      <c r="C177" s="838"/>
      <c r="D177" s="393">
        <f>D146+D154+D157+D166+D170+D173+D176</f>
        <v>27.400000000000002</v>
      </c>
      <c r="E177" s="374"/>
      <c r="F177" s="409">
        <f>F146+F154+F157+F166+F170+F173+F176</f>
        <v>162411</v>
      </c>
      <c r="G177" s="409">
        <f t="shared" ref="G177:I177" si="45">G146+G154+G157+G166+G170+G173+G176</f>
        <v>186772.65</v>
      </c>
      <c r="H177" s="409">
        <f t="shared" si="45"/>
        <v>242804.44500000001</v>
      </c>
      <c r="I177" s="393">
        <f t="shared" si="45"/>
        <v>0</v>
      </c>
    </row>
    <row r="178" spans="1:9" ht="15.75">
      <c r="A178" s="827" t="s">
        <v>676</v>
      </c>
      <c r="B178" s="828"/>
      <c r="C178" s="828"/>
      <c r="D178" s="828"/>
      <c r="E178" s="828"/>
      <c r="F178" s="828"/>
      <c r="G178" s="828"/>
      <c r="H178" s="829"/>
      <c r="I178" s="407"/>
    </row>
    <row r="179" spans="1:9" s="344" customFormat="1" ht="12.75" customHeight="1">
      <c r="A179" s="779" t="s">
        <v>363</v>
      </c>
      <c r="B179" s="780"/>
      <c r="C179" s="780"/>
      <c r="D179" s="780"/>
      <c r="E179" s="780"/>
      <c r="F179" s="780"/>
      <c r="G179" s="780"/>
      <c r="H179" s="781"/>
    </row>
    <row r="180" spans="1:9" s="323" customFormat="1" ht="12.75" customHeight="1">
      <c r="A180" s="175">
        <v>1</v>
      </c>
      <c r="B180" s="424" t="s">
        <v>365</v>
      </c>
      <c r="C180" s="424" t="s">
        <v>945</v>
      </c>
      <c r="D180" s="425">
        <v>1</v>
      </c>
      <c r="E180" s="425">
        <v>1</v>
      </c>
      <c r="F180" s="426">
        <v>5820</v>
      </c>
      <c r="G180" s="414">
        <f>F180*1.15</f>
        <v>6692.9999999999991</v>
      </c>
      <c r="H180" s="415">
        <f t="shared" ref="H180:H217" si="46">G180*1.3</f>
        <v>8700.9</v>
      </c>
    </row>
    <row r="181" spans="1:9" s="418" customFormat="1" ht="12.75" customHeight="1">
      <c r="A181" s="406"/>
      <c r="B181" s="416"/>
      <c r="C181" s="416"/>
      <c r="D181" s="348">
        <f>SUM(D180)</f>
        <v>1</v>
      </c>
      <c r="E181" s="348"/>
      <c r="F181" s="417">
        <f t="shared" ref="F181:H181" si="47">SUM(F180)</f>
        <v>5820</v>
      </c>
      <c r="G181" s="417">
        <f t="shared" si="47"/>
        <v>6692.9999999999991</v>
      </c>
      <c r="H181" s="417">
        <f t="shared" si="47"/>
        <v>8700.9</v>
      </c>
    </row>
    <row r="182" spans="1:9" s="323" customFormat="1" ht="12.75" customHeight="1">
      <c r="A182" s="824" t="s">
        <v>369</v>
      </c>
      <c r="B182" s="825"/>
      <c r="C182" s="825"/>
      <c r="D182" s="825"/>
      <c r="E182" s="825"/>
      <c r="F182" s="825"/>
      <c r="G182" s="825"/>
      <c r="H182" s="826"/>
    </row>
    <row r="183" spans="1:9" s="323" customFormat="1" ht="12.75" customHeight="1">
      <c r="A183" s="349">
        <f>A180+1</f>
        <v>2</v>
      </c>
      <c r="B183" s="427" t="s">
        <v>377</v>
      </c>
      <c r="C183" s="427" t="s">
        <v>945</v>
      </c>
      <c r="D183" s="428">
        <v>1</v>
      </c>
      <c r="E183" s="428">
        <v>1</v>
      </c>
      <c r="F183" s="429">
        <v>5820</v>
      </c>
      <c r="G183" s="410">
        <f t="shared" ref="G183:G234" si="48">F183*1.15</f>
        <v>6692.9999999999991</v>
      </c>
      <c r="H183" s="411">
        <f t="shared" si="46"/>
        <v>8700.9</v>
      </c>
    </row>
    <row r="184" spans="1:9" s="323" customFormat="1" ht="12.75" customHeight="1">
      <c r="A184" s="349"/>
      <c r="B184" s="427" t="s">
        <v>377</v>
      </c>
      <c r="C184" s="427" t="s">
        <v>945</v>
      </c>
      <c r="D184" s="428">
        <v>0.4</v>
      </c>
      <c r="E184" s="428">
        <v>1</v>
      </c>
      <c r="F184" s="429">
        <f>5820*0.4</f>
        <v>2328</v>
      </c>
      <c r="G184" s="410">
        <f>F184*1.15</f>
        <v>2677.2</v>
      </c>
      <c r="H184" s="411">
        <f>G184*1.3</f>
        <v>3480.3599999999997</v>
      </c>
    </row>
    <row r="185" spans="1:9" s="323" customFormat="1" ht="12.75" customHeight="1">
      <c r="A185" s="349">
        <v>3</v>
      </c>
      <c r="B185" s="427" t="s">
        <v>371</v>
      </c>
      <c r="C185" s="427" t="s">
        <v>945</v>
      </c>
      <c r="D185" s="428">
        <v>1</v>
      </c>
      <c r="E185" s="428">
        <v>1</v>
      </c>
      <c r="F185" s="429">
        <v>5820</v>
      </c>
      <c r="G185" s="410">
        <f t="shared" si="48"/>
        <v>6692.9999999999991</v>
      </c>
      <c r="H185" s="411">
        <f t="shared" si="46"/>
        <v>8700.9</v>
      </c>
    </row>
    <row r="186" spans="1:9" s="323" customFormat="1" ht="12.75" customHeight="1">
      <c r="A186" s="175">
        <f>A185+1</f>
        <v>4</v>
      </c>
      <c r="B186" s="424" t="s">
        <v>380</v>
      </c>
      <c r="C186" s="424" t="s">
        <v>945</v>
      </c>
      <c r="D186" s="425">
        <v>0.6</v>
      </c>
      <c r="E186" s="425">
        <v>1</v>
      </c>
      <c r="F186" s="426">
        <f>5820*0.6</f>
        <v>3492</v>
      </c>
      <c r="G186" s="414">
        <f t="shared" si="48"/>
        <v>4015.7999999999997</v>
      </c>
      <c r="H186" s="415">
        <f t="shared" si="46"/>
        <v>5220.54</v>
      </c>
    </row>
    <row r="187" spans="1:9" s="418" customFormat="1" ht="12.75" customHeight="1">
      <c r="A187" s="406"/>
      <c r="B187" s="416"/>
      <c r="C187" s="416"/>
      <c r="D187" s="348">
        <f>SUM(D183:D186)</f>
        <v>3</v>
      </c>
      <c r="E187" s="348"/>
      <c r="F187" s="417">
        <f>SUM(F183:F186)</f>
        <v>17460</v>
      </c>
      <c r="G187" s="417">
        <f t="shared" ref="G187:H187" si="49">SUM(G183:G186)</f>
        <v>20078.999999999996</v>
      </c>
      <c r="H187" s="417">
        <f t="shared" si="49"/>
        <v>26102.699999999997</v>
      </c>
    </row>
    <row r="188" spans="1:9" s="323" customFormat="1" ht="12.75" customHeight="1">
      <c r="A188" s="824" t="s">
        <v>382</v>
      </c>
      <c r="B188" s="825"/>
      <c r="C188" s="825"/>
      <c r="D188" s="825"/>
      <c r="E188" s="825"/>
      <c r="F188" s="825"/>
      <c r="G188" s="825"/>
      <c r="H188" s="826"/>
    </row>
    <row r="189" spans="1:9" s="323" customFormat="1" ht="12.75" customHeight="1">
      <c r="A189" s="175">
        <f>A186+1</f>
        <v>5</v>
      </c>
      <c r="B189" s="424" t="s">
        <v>384</v>
      </c>
      <c r="C189" s="424" t="s">
        <v>945</v>
      </c>
      <c r="D189" s="425">
        <v>1</v>
      </c>
      <c r="E189" s="425">
        <v>1.2</v>
      </c>
      <c r="F189" s="426">
        <f>1.2*5820</f>
        <v>6984</v>
      </c>
      <c r="G189" s="414">
        <f t="shared" si="48"/>
        <v>8031.5999999999995</v>
      </c>
      <c r="H189" s="415">
        <f t="shared" si="46"/>
        <v>10441.08</v>
      </c>
    </row>
    <row r="190" spans="1:9" s="323" customFormat="1" ht="12.75" customHeight="1">
      <c r="A190" s="349"/>
      <c r="B190" s="346"/>
      <c r="C190" s="346"/>
      <c r="D190" s="348">
        <f>SUM(D189)</f>
        <v>1</v>
      </c>
      <c r="E190" s="348"/>
      <c r="F190" s="430">
        <f t="shared" ref="F190:H190" si="50">SUM(F189)</f>
        <v>6984</v>
      </c>
      <c r="G190" s="430">
        <f t="shared" si="50"/>
        <v>8031.5999999999995</v>
      </c>
      <c r="H190" s="430">
        <f t="shared" si="50"/>
        <v>10441.08</v>
      </c>
    </row>
    <row r="191" spans="1:9" s="323" customFormat="1" ht="12.75" customHeight="1">
      <c r="A191" s="824" t="s">
        <v>946</v>
      </c>
      <c r="B191" s="825"/>
      <c r="C191" s="825"/>
      <c r="D191" s="825"/>
      <c r="E191" s="825"/>
      <c r="F191" s="825"/>
      <c r="G191" s="825"/>
      <c r="H191" s="826"/>
    </row>
    <row r="192" spans="1:9" s="323" customFormat="1" ht="12.75" customHeight="1">
      <c r="A192" s="349">
        <f>A189+1</f>
        <v>6</v>
      </c>
      <c r="B192" s="427" t="s">
        <v>906</v>
      </c>
      <c r="C192" s="427" t="s">
        <v>945</v>
      </c>
      <c r="D192" s="428">
        <v>0.7</v>
      </c>
      <c r="E192" s="428">
        <v>1</v>
      </c>
      <c r="F192" s="429">
        <v>4074</v>
      </c>
      <c r="G192" s="410">
        <f t="shared" si="48"/>
        <v>4685.0999999999995</v>
      </c>
      <c r="H192" s="411">
        <f t="shared" si="46"/>
        <v>6090.6299999999992</v>
      </c>
    </row>
    <row r="193" spans="1:8" s="323" customFormat="1" ht="12.75" customHeight="1">
      <c r="A193" s="175">
        <f>A192+1</f>
        <v>7</v>
      </c>
      <c r="B193" s="424" t="s">
        <v>391</v>
      </c>
      <c r="C193" s="424" t="s">
        <v>945</v>
      </c>
      <c r="D193" s="425">
        <v>0.6</v>
      </c>
      <c r="E193" s="425">
        <v>1</v>
      </c>
      <c r="F193" s="426">
        <v>3492</v>
      </c>
      <c r="G193" s="414">
        <f t="shared" si="48"/>
        <v>4015.7999999999997</v>
      </c>
      <c r="H193" s="415">
        <f t="shared" si="46"/>
        <v>5220.54</v>
      </c>
    </row>
    <row r="194" spans="1:8" s="418" customFormat="1" ht="12.75" customHeight="1">
      <c r="A194" s="406"/>
      <c r="B194" s="416"/>
      <c r="C194" s="416"/>
      <c r="D194" s="348">
        <f>SUM(D192:D193)</f>
        <v>1.2999999999999998</v>
      </c>
      <c r="E194" s="348"/>
      <c r="F194" s="417">
        <f>SUM(F192:F193)</f>
        <v>7566</v>
      </c>
      <c r="G194" s="417">
        <f t="shared" ref="G194:H194" si="51">SUM(G192:G193)</f>
        <v>8700.9</v>
      </c>
      <c r="H194" s="417">
        <f t="shared" si="51"/>
        <v>11311.169999999998</v>
      </c>
    </row>
    <row r="195" spans="1:8" s="323" customFormat="1" ht="12.75" customHeight="1">
      <c r="A195" s="824" t="s">
        <v>947</v>
      </c>
      <c r="B195" s="825"/>
      <c r="C195" s="825"/>
      <c r="D195" s="825"/>
      <c r="E195" s="825"/>
      <c r="F195" s="825"/>
      <c r="G195" s="825"/>
      <c r="H195" s="826"/>
    </row>
    <row r="196" spans="1:8" s="323" customFormat="1" ht="12.75" customHeight="1">
      <c r="A196" s="349">
        <f>A193+1</f>
        <v>8</v>
      </c>
      <c r="B196" s="427" t="s">
        <v>395</v>
      </c>
      <c r="C196" s="427" t="s">
        <v>945</v>
      </c>
      <c r="D196" s="428">
        <v>0.7</v>
      </c>
      <c r="E196" s="428">
        <v>1</v>
      </c>
      <c r="F196" s="429">
        <v>4074</v>
      </c>
      <c r="G196" s="410">
        <f t="shared" si="48"/>
        <v>4685.0999999999995</v>
      </c>
      <c r="H196" s="411">
        <f t="shared" si="46"/>
        <v>6090.6299999999992</v>
      </c>
    </row>
    <row r="197" spans="1:8" s="323" customFormat="1" ht="12.75" customHeight="1">
      <c r="A197" s="175">
        <f>A196+1</f>
        <v>9</v>
      </c>
      <c r="B197" s="424" t="s">
        <v>394</v>
      </c>
      <c r="C197" s="424" t="s">
        <v>945</v>
      </c>
      <c r="D197" s="425">
        <v>0.8</v>
      </c>
      <c r="E197" s="425">
        <v>1</v>
      </c>
      <c r="F197" s="426">
        <v>4656</v>
      </c>
      <c r="G197" s="414">
        <f t="shared" si="48"/>
        <v>5354.4</v>
      </c>
      <c r="H197" s="415">
        <f t="shared" si="46"/>
        <v>6960.7199999999993</v>
      </c>
    </row>
    <row r="198" spans="1:8" s="418" customFormat="1" ht="12.75" customHeight="1">
      <c r="A198" s="406"/>
      <c r="B198" s="416"/>
      <c r="C198" s="416"/>
      <c r="D198" s="348">
        <f>SUM(D196:D197)</f>
        <v>1.5</v>
      </c>
      <c r="E198" s="348"/>
      <c r="F198" s="417">
        <f>SUM(F196:F197)</f>
        <v>8730</v>
      </c>
      <c r="G198" s="417">
        <f t="shared" ref="G198:H198" si="52">SUM(G196:G197)</f>
        <v>10039.5</v>
      </c>
      <c r="H198" s="417">
        <f t="shared" si="52"/>
        <v>13051.349999999999</v>
      </c>
    </row>
    <row r="199" spans="1:8" s="323" customFormat="1" ht="12.75" customHeight="1">
      <c r="A199" s="824" t="s">
        <v>400</v>
      </c>
      <c r="B199" s="825"/>
      <c r="C199" s="825"/>
      <c r="D199" s="825"/>
      <c r="E199" s="825"/>
      <c r="F199" s="825"/>
      <c r="G199" s="825"/>
      <c r="H199" s="826"/>
    </row>
    <row r="200" spans="1:8" s="323" customFormat="1" ht="12.75" customHeight="1">
      <c r="A200" s="175">
        <f>A197+1</f>
        <v>10</v>
      </c>
      <c r="B200" s="424" t="s">
        <v>402</v>
      </c>
      <c r="C200" s="424" t="s">
        <v>945</v>
      </c>
      <c r="D200" s="425">
        <v>1</v>
      </c>
      <c r="E200" s="425">
        <v>1</v>
      </c>
      <c r="F200" s="426">
        <v>5820</v>
      </c>
      <c r="G200" s="414">
        <f t="shared" si="48"/>
        <v>6692.9999999999991</v>
      </c>
      <c r="H200" s="415">
        <f t="shared" si="46"/>
        <v>8700.9</v>
      </c>
    </row>
    <row r="201" spans="1:8" s="418" customFormat="1" ht="12.75" customHeight="1">
      <c r="A201" s="406"/>
      <c r="B201" s="416"/>
      <c r="C201" s="416"/>
      <c r="D201" s="348">
        <f>SUM(D200)</f>
        <v>1</v>
      </c>
      <c r="E201" s="348"/>
      <c r="F201" s="430">
        <f t="shared" ref="F201:H201" si="53">SUM(F200)</f>
        <v>5820</v>
      </c>
      <c r="G201" s="430">
        <f t="shared" si="53"/>
        <v>6692.9999999999991</v>
      </c>
      <c r="H201" s="430">
        <f t="shared" si="53"/>
        <v>8700.9</v>
      </c>
    </row>
    <row r="202" spans="1:8" s="323" customFormat="1" ht="12.75" customHeight="1">
      <c r="A202" s="824" t="s">
        <v>998</v>
      </c>
      <c r="B202" s="825"/>
      <c r="C202" s="825"/>
      <c r="D202" s="825"/>
      <c r="E202" s="825"/>
      <c r="F202" s="825"/>
      <c r="G202" s="825"/>
      <c r="H202" s="826"/>
    </row>
    <row r="203" spans="1:8" s="323" customFormat="1" ht="12.75" customHeight="1">
      <c r="A203" s="349">
        <f>A200+1</f>
        <v>11</v>
      </c>
      <c r="B203" s="427" t="s">
        <v>410</v>
      </c>
      <c r="C203" s="427" t="s">
        <v>945</v>
      </c>
      <c r="D203" s="428">
        <v>0.7</v>
      </c>
      <c r="E203" s="428">
        <v>1</v>
      </c>
      <c r="F203" s="429">
        <v>4074</v>
      </c>
      <c r="G203" s="410">
        <f t="shared" si="48"/>
        <v>4685.0999999999995</v>
      </c>
      <c r="H203" s="411">
        <f t="shared" si="46"/>
        <v>6090.6299999999992</v>
      </c>
    </row>
    <row r="204" spans="1:8" s="323" customFormat="1" ht="12.75" customHeight="1">
      <c r="A204" s="175">
        <f>A203+1</f>
        <v>12</v>
      </c>
      <c r="B204" s="424" t="s">
        <v>406</v>
      </c>
      <c r="C204" s="424" t="s">
        <v>945</v>
      </c>
      <c r="D204" s="425">
        <v>0.7</v>
      </c>
      <c r="E204" s="425">
        <v>1</v>
      </c>
      <c r="F204" s="426">
        <v>4074</v>
      </c>
      <c r="G204" s="414">
        <f t="shared" si="48"/>
        <v>4685.0999999999995</v>
      </c>
      <c r="H204" s="415">
        <f t="shared" si="46"/>
        <v>6090.6299999999992</v>
      </c>
    </row>
    <row r="205" spans="1:8" s="418" customFormat="1" ht="12.75" customHeight="1">
      <c r="A205" s="406"/>
      <c r="B205" s="416"/>
      <c r="C205" s="416"/>
      <c r="D205" s="348">
        <f>SUM(D203:D204)</f>
        <v>1.4</v>
      </c>
      <c r="E205" s="348"/>
      <c r="F205" s="417">
        <f>SUM(F203:F204)</f>
        <v>8148</v>
      </c>
      <c r="G205" s="417">
        <f t="shared" ref="G205:H205" si="54">SUM(G203:G204)</f>
        <v>9370.1999999999989</v>
      </c>
      <c r="H205" s="417">
        <f t="shared" si="54"/>
        <v>12181.259999999998</v>
      </c>
    </row>
    <row r="206" spans="1:8" s="323" customFormat="1" ht="12.75" customHeight="1">
      <c r="A206" s="824" t="s">
        <v>412</v>
      </c>
      <c r="B206" s="825"/>
      <c r="C206" s="825"/>
      <c r="D206" s="825"/>
      <c r="E206" s="825"/>
      <c r="F206" s="825"/>
      <c r="G206" s="825"/>
      <c r="H206" s="826"/>
    </row>
    <row r="207" spans="1:8" s="323" customFormat="1" ht="12.75" customHeight="1">
      <c r="A207" s="349">
        <f>A204+1</f>
        <v>13</v>
      </c>
      <c r="B207" s="427" t="s">
        <v>442</v>
      </c>
      <c r="C207" s="427" t="s">
        <v>945</v>
      </c>
      <c r="D207" s="428">
        <v>1</v>
      </c>
      <c r="E207" s="428">
        <v>1</v>
      </c>
      <c r="F207" s="429">
        <v>5820</v>
      </c>
      <c r="G207" s="410">
        <f t="shared" si="48"/>
        <v>6692.9999999999991</v>
      </c>
      <c r="H207" s="411">
        <f t="shared" si="46"/>
        <v>8700.9</v>
      </c>
    </row>
    <row r="208" spans="1:8" s="323" customFormat="1" ht="12.75" customHeight="1">
      <c r="A208" s="349">
        <f t="shared" ref="A208:A213" si="55">A207+1</f>
        <v>14</v>
      </c>
      <c r="B208" s="427" t="s">
        <v>414</v>
      </c>
      <c r="C208" s="427" t="s">
        <v>945</v>
      </c>
      <c r="D208" s="428">
        <v>1</v>
      </c>
      <c r="E208" s="428">
        <v>1.48</v>
      </c>
      <c r="F208" s="429">
        <v>8620</v>
      </c>
      <c r="G208" s="410">
        <f t="shared" si="48"/>
        <v>9913</v>
      </c>
      <c r="H208" s="411">
        <f t="shared" si="46"/>
        <v>12886.9</v>
      </c>
    </row>
    <row r="209" spans="1:9" s="323" customFormat="1" ht="12.75" customHeight="1">
      <c r="A209" s="349">
        <f t="shared" si="55"/>
        <v>15</v>
      </c>
      <c r="B209" s="427" t="s">
        <v>421</v>
      </c>
      <c r="C209" s="427" t="s">
        <v>945</v>
      </c>
      <c r="D209" s="428">
        <v>1</v>
      </c>
      <c r="E209" s="428">
        <v>1</v>
      </c>
      <c r="F209" s="429">
        <v>5820</v>
      </c>
      <c r="G209" s="410">
        <f t="shared" si="48"/>
        <v>6692.9999999999991</v>
      </c>
      <c r="H209" s="411">
        <f t="shared" si="46"/>
        <v>8700.9</v>
      </c>
    </row>
    <row r="210" spans="1:9" s="323" customFormat="1" ht="12.75" customHeight="1">
      <c r="A210" s="349">
        <f t="shared" si="55"/>
        <v>16</v>
      </c>
      <c r="B210" s="427" t="s">
        <v>433</v>
      </c>
      <c r="C210" s="427" t="s">
        <v>945</v>
      </c>
      <c r="D210" s="428">
        <v>1</v>
      </c>
      <c r="E210" s="428">
        <v>1</v>
      </c>
      <c r="F210" s="429">
        <v>5820</v>
      </c>
      <c r="G210" s="410">
        <f t="shared" si="48"/>
        <v>6692.9999999999991</v>
      </c>
      <c r="H210" s="411">
        <f t="shared" si="46"/>
        <v>8700.9</v>
      </c>
    </row>
    <row r="211" spans="1:9" s="323" customFormat="1" ht="12.75" customHeight="1">
      <c r="A211" s="349">
        <f t="shared" si="55"/>
        <v>17</v>
      </c>
      <c r="B211" s="427" t="s">
        <v>434</v>
      </c>
      <c r="C211" s="427" t="s">
        <v>945</v>
      </c>
      <c r="D211" s="428">
        <v>1</v>
      </c>
      <c r="E211" s="428">
        <v>1.48</v>
      </c>
      <c r="F211" s="429">
        <v>8620</v>
      </c>
      <c r="G211" s="410">
        <f t="shared" si="48"/>
        <v>9913</v>
      </c>
      <c r="H211" s="411">
        <f t="shared" si="46"/>
        <v>12886.9</v>
      </c>
    </row>
    <row r="212" spans="1:9" s="323" customFormat="1" ht="12.75" customHeight="1">
      <c r="A212" s="349">
        <f t="shared" si="55"/>
        <v>18</v>
      </c>
      <c r="B212" s="427" t="s">
        <v>428</v>
      </c>
      <c r="C212" s="427" t="s">
        <v>945</v>
      </c>
      <c r="D212" s="428">
        <v>1</v>
      </c>
      <c r="E212" s="428">
        <v>1</v>
      </c>
      <c r="F212" s="429">
        <v>5820</v>
      </c>
      <c r="G212" s="410">
        <f t="shared" si="48"/>
        <v>6692.9999999999991</v>
      </c>
      <c r="H212" s="411">
        <f t="shared" si="46"/>
        <v>8700.9</v>
      </c>
    </row>
    <row r="213" spans="1:9" s="323" customFormat="1" ht="12.75" customHeight="1">
      <c r="A213" s="175">
        <f t="shared" si="55"/>
        <v>19</v>
      </c>
      <c r="B213" s="424" t="s">
        <v>424</v>
      </c>
      <c r="C213" s="424" t="s">
        <v>945</v>
      </c>
      <c r="D213" s="425">
        <v>0.5</v>
      </c>
      <c r="E213" s="425">
        <v>1</v>
      </c>
      <c r="F213" s="426">
        <v>2910</v>
      </c>
      <c r="G213" s="414">
        <f t="shared" si="48"/>
        <v>3346.4999999999995</v>
      </c>
      <c r="H213" s="415">
        <f t="shared" si="46"/>
        <v>4350.45</v>
      </c>
    </row>
    <row r="214" spans="1:9" s="418" customFormat="1" ht="12.75" customHeight="1">
      <c r="A214" s="406"/>
      <c r="B214" s="416"/>
      <c r="C214" s="416"/>
      <c r="D214" s="348">
        <f>SUM(D207:D213)</f>
        <v>6.5</v>
      </c>
      <c r="E214" s="348"/>
      <c r="F214" s="417">
        <f>SUM(F207:F213)</f>
        <v>43430</v>
      </c>
      <c r="G214" s="417">
        <f t="shared" ref="G214:I214" si="56">SUM(G207:G213)</f>
        <v>49944.5</v>
      </c>
      <c r="H214" s="417">
        <f t="shared" si="56"/>
        <v>64927.85</v>
      </c>
      <c r="I214" s="417">
        <f t="shared" si="56"/>
        <v>0</v>
      </c>
    </row>
    <row r="215" spans="1:9" s="323" customFormat="1" ht="12.75" customHeight="1">
      <c r="A215" s="824" t="s">
        <v>914</v>
      </c>
      <c r="B215" s="825"/>
      <c r="C215" s="825"/>
      <c r="D215" s="825"/>
      <c r="E215" s="825"/>
      <c r="F215" s="825"/>
      <c r="G215" s="825"/>
      <c r="H215" s="826"/>
    </row>
    <row r="216" spans="1:9" s="323" customFormat="1" ht="12.75" customHeight="1">
      <c r="A216" s="349">
        <f>A213+1</f>
        <v>20</v>
      </c>
      <c r="B216" s="427" t="s">
        <v>461</v>
      </c>
      <c r="C216" s="427" t="s">
        <v>945</v>
      </c>
      <c r="D216" s="428">
        <v>0.6</v>
      </c>
      <c r="E216" s="428">
        <v>1</v>
      </c>
      <c r="F216" s="429">
        <v>3492</v>
      </c>
      <c r="G216" s="410">
        <f t="shared" si="48"/>
        <v>4015.7999999999997</v>
      </c>
      <c r="H216" s="411">
        <f t="shared" si="46"/>
        <v>5220.54</v>
      </c>
    </row>
    <row r="217" spans="1:9" s="323" customFormat="1" ht="12.75" customHeight="1">
      <c r="A217" s="175">
        <f>A216+1</f>
        <v>21</v>
      </c>
      <c r="B217" s="424" t="s">
        <v>1008</v>
      </c>
      <c r="C217" s="424" t="s">
        <v>945</v>
      </c>
      <c r="D217" s="425">
        <v>0.6</v>
      </c>
      <c r="E217" s="425">
        <v>1</v>
      </c>
      <c r="F217" s="426">
        <v>3492</v>
      </c>
      <c r="G217" s="414">
        <f t="shared" si="48"/>
        <v>4015.7999999999997</v>
      </c>
      <c r="H217" s="415">
        <f t="shared" si="46"/>
        <v>5220.54</v>
      </c>
    </row>
    <row r="218" spans="1:9" s="418" customFormat="1" ht="12.75" customHeight="1">
      <c r="A218" s="406"/>
      <c r="B218" s="416"/>
      <c r="C218" s="416"/>
      <c r="D218" s="348">
        <f>SUM(D216:D217)</f>
        <v>1.2</v>
      </c>
      <c r="E218" s="348"/>
      <c r="F218" s="417">
        <f>SUM(F216:F217)</f>
        <v>6984</v>
      </c>
      <c r="G218" s="417">
        <f t="shared" ref="G218:H218" si="57">SUM(G216:G217)</f>
        <v>8031.5999999999995</v>
      </c>
      <c r="H218" s="417">
        <f t="shared" si="57"/>
        <v>10441.08</v>
      </c>
    </row>
    <row r="219" spans="1:9" s="323" customFormat="1" ht="12.75" customHeight="1">
      <c r="A219" s="824" t="s">
        <v>948</v>
      </c>
      <c r="B219" s="825"/>
      <c r="C219" s="825"/>
      <c r="D219" s="825"/>
      <c r="E219" s="825"/>
      <c r="F219" s="825"/>
      <c r="G219" s="825"/>
      <c r="H219" s="826"/>
    </row>
    <row r="220" spans="1:9" s="323" customFormat="1" ht="12.75" customHeight="1">
      <c r="A220" s="349">
        <f>A217+1</f>
        <v>22</v>
      </c>
      <c r="B220" s="427" t="s">
        <v>477</v>
      </c>
      <c r="C220" s="427" t="s">
        <v>945</v>
      </c>
      <c r="D220" s="428">
        <v>1</v>
      </c>
      <c r="E220" s="428">
        <v>1.1000000000000001</v>
      </c>
      <c r="F220" s="429">
        <v>6410</v>
      </c>
      <c r="G220" s="410">
        <f t="shared" si="48"/>
        <v>7371.4999999999991</v>
      </c>
      <c r="H220" s="411">
        <f>G220*1.3</f>
        <v>9582.9499999999989</v>
      </c>
    </row>
    <row r="221" spans="1:9" s="323" customFormat="1" ht="12.75" customHeight="1">
      <c r="A221" s="349">
        <f>A220+1</f>
        <v>23</v>
      </c>
      <c r="B221" s="427" t="s">
        <v>949</v>
      </c>
      <c r="C221" s="427" t="s">
        <v>945</v>
      </c>
      <c r="D221" s="428">
        <v>0.9</v>
      </c>
      <c r="E221" s="428">
        <v>1</v>
      </c>
      <c r="F221" s="429">
        <v>5238</v>
      </c>
      <c r="G221" s="410">
        <f t="shared" si="48"/>
        <v>6023.7</v>
      </c>
      <c r="H221" s="411">
        <f>G221*1.3</f>
        <v>7830.81</v>
      </c>
    </row>
    <row r="222" spans="1:9" s="323" customFormat="1" ht="12.75" customHeight="1">
      <c r="A222" s="349">
        <f>A221+1</f>
        <v>24</v>
      </c>
      <c r="B222" s="427" t="s">
        <v>470</v>
      </c>
      <c r="C222" s="427" t="s">
        <v>945</v>
      </c>
      <c r="D222" s="428">
        <v>1</v>
      </c>
      <c r="E222" s="428">
        <v>1.18</v>
      </c>
      <c r="F222" s="429">
        <v>6870</v>
      </c>
      <c r="G222" s="410">
        <f t="shared" si="48"/>
        <v>7900.4999999999991</v>
      </c>
      <c r="H222" s="411">
        <f t="shared" ref="H222:H234" si="58">G222*1.3</f>
        <v>10270.65</v>
      </c>
    </row>
    <row r="223" spans="1:9" s="323" customFormat="1" ht="12.75" customHeight="1">
      <c r="A223" s="349">
        <f>A222+1</f>
        <v>25</v>
      </c>
      <c r="B223" s="427" t="s">
        <v>478</v>
      </c>
      <c r="C223" s="427" t="s">
        <v>945</v>
      </c>
      <c r="D223" s="428">
        <v>1</v>
      </c>
      <c r="E223" s="428">
        <v>1.1000000000000001</v>
      </c>
      <c r="F223" s="429">
        <v>6410</v>
      </c>
      <c r="G223" s="410">
        <f t="shared" si="48"/>
        <v>7371.4999999999991</v>
      </c>
      <c r="H223" s="411">
        <f t="shared" si="58"/>
        <v>9582.9499999999989</v>
      </c>
    </row>
    <row r="224" spans="1:9" s="323" customFormat="1" ht="12.75" customHeight="1">
      <c r="A224" s="175">
        <f>A223+1</f>
        <v>26</v>
      </c>
      <c r="B224" s="424" t="s">
        <v>479</v>
      </c>
      <c r="C224" s="424" t="s">
        <v>945</v>
      </c>
      <c r="D224" s="425">
        <v>1</v>
      </c>
      <c r="E224" s="425">
        <v>1.1000000000000001</v>
      </c>
      <c r="F224" s="426">
        <v>6410</v>
      </c>
      <c r="G224" s="414">
        <f t="shared" si="48"/>
        <v>7371.4999999999991</v>
      </c>
      <c r="H224" s="415">
        <f t="shared" si="58"/>
        <v>9582.9499999999989</v>
      </c>
    </row>
    <row r="225" spans="1:8" s="323" customFormat="1" ht="12.75" customHeight="1">
      <c r="A225" s="349"/>
      <c r="B225" s="346"/>
      <c r="C225" s="346"/>
      <c r="D225" s="345">
        <f>SUM(D220:D224)</f>
        <v>4.9000000000000004</v>
      </c>
      <c r="E225" s="345"/>
      <c r="F225" s="431">
        <f>SUM(F220:F224)</f>
        <v>31338</v>
      </c>
      <c r="G225" s="431">
        <f t="shared" ref="G225:H225" si="59">SUM(G220:G224)</f>
        <v>36038.699999999997</v>
      </c>
      <c r="H225" s="431">
        <f t="shared" si="59"/>
        <v>46850.30999999999</v>
      </c>
    </row>
    <row r="226" spans="1:8" s="323" customFormat="1" ht="12.75" customHeight="1">
      <c r="A226" s="824" t="s">
        <v>483</v>
      </c>
      <c r="B226" s="825"/>
      <c r="C226" s="825"/>
      <c r="D226" s="825"/>
      <c r="E226" s="825"/>
      <c r="F226" s="825"/>
      <c r="G226" s="825"/>
      <c r="H226" s="826"/>
    </row>
    <row r="227" spans="1:8" s="323" customFormat="1" ht="12.75" customHeight="1">
      <c r="A227" s="175">
        <f>A224+1</f>
        <v>27</v>
      </c>
      <c r="B227" s="424" t="s">
        <v>1009</v>
      </c>
      <c r="C227" s="424" t="s">
        <v>945</v>
      </c>
      <c r="D227" s="425">
        <v>1</v>
      </c>
      <c r="E227" s="425">
        <v>1</v>
      </c>
      <c r="F227" s="426">
        <v>5820</v>
      </c>
      <c r="G227" s="414">
        <f t="shared" si="48"/>
        <v>6692.9999999999991</v>
      </c>
      <c r="H227" s="415">
        <f t="shared" si="58"/>
        <v>8700.9</v>
      </c>
    </row>
    <row r="228" spans="1:8" s="418" customFormat="1" ht="12.75" customHeight="1">
      <c r="A228" s="406"/>
      <c r="B228" s="416"/>
      <c r="C228" s="416"/>
      <c r="D228" s="348">
        <f>SUM(D227)</f>
        <v>1</v>
      </c>
      <c r="E228" s="348"/>
      <c r="F228" s="417">
        <f>SUM(F227)</f>
        <v>5820</v>
      </c>
      <c r="G228" s="417">
        <f t="shared" ref="G228:H228" si="60">SUM(G227)</f>
        <v>6692.9999999999991</v>
      </c>
      <c r="H228" s="417">
        <f t="shared" si="60"/>
        <v>8700.9</v>
      </c>
    </row>
    <row r="229" spans="1:8" s="323" customFormat="1" ht="12.75" customHeight="1">
      <c r="A229" s="824" t="s">
        <v>494</v>
      </c>
      <c r="B229" s="825"/>
      <c r="C229" s="825"/>
      <c r="D229" s="825"/>
      <c r="E229" s="825"/>
      <c r="F229" s="825"/>
      <c r="G229" s="825"/>
      <c r="H229" s="826"/>
    </row>
    <row r="230" spans="1:8" s="323" customFormat="1" ht="12.75" customHeight="1">
      <c r="A230" s="175">
        <f>A227+1</f>
        <v>28</v>
      </c>
      <c r="B230" s="424" t="s">
        <v>496</v>
      </c>
      <c r="C230" s="424" t="s">
        <v>945</v>
      </c>
      <c r="D230" s="425">
        <v>1</v>
      </c>
      <c r="E230" s="425">
        <v>1</v>
      </c>
      <c r="F230" s="426">
        <v>5820</v>
      </c>
      <c r="G230" s="414">
        <f t="shared" si="48"/>
        <v>6692.9999999999991</v>
      </c>
      <c r="H230" s="415">
        <f t="shared" si="58"/>
        <v>8700.9</v>
      </c>
    </row>
    <row r="231" spans="1:8" s="323" customFormat="1" ht="12.75" customHeight="1">
      <c r="A231" s="349"/>
      <c r="B231" s="346"/>
      <c r="C231" s="346"/>
      <c r="D231" s="345">
        <f>SUM(D230)</f>
        <v>1</v>
      </c>
      <c r="E231" s="345"/>
      <c r="F231" s="431">
        <f>SUM(F230)</f>
        <v>5820</v>
      </c>
      <c r="G231" s="431">
        <f t="shared" ref="G231:H231" si="61">SUM(G230)</f>
        <v>6692.9999999999991</v>
      </c>
      <c r="H231" s="431">
        <f t="shared" si="61"/>
        <v>8700.9</v>
      </c>
    </row>
    <row r="232" spans="1:8" s="323" customFormat="1" ht="12.75" customHeight="1">
      <c r="A232" s="824" t="s">
        <v>497</v>
      </c>
      <c r="B232" s="825"/>
      <c r="C232" s="825"/>
      <c r="D232" s="825"/>
      <c r="E232" s="825"/>
      <c r="F232" s="825"/>
      <c r="G232" s="825"/>
      <c r="H232" s="826"/>
    </row>
    <row r="233" spans="1:8" s="398" customFormat="1" ht="12.75" customHeight="1">
      <c r="A233" s="349">
        <f>A230+1</f>
        <v>29</v>
      </c>
      <c r="B233" s="427" t="s">
        <v>501</v>
      </c>
      <c r="C233" s="427" t="s">
        <v>945</v>
      </c>
      <c r="D233" s="428">
        <v>0.5</v>
      </c>
      <c r="E233" s="428">
        <v>1</v>
      </c>
      <c r="F233" s="429">
        <v>2910</v>
      </c>
      <c r="G233" s="410">
        <f t="shared" si="48"/>
        <v>3346.4999999999995</v>
      </c>
      <c r="H233" s="412">
        <f t="shared" si="58"/>
        <v>4350.45</v>
      </c>
    </row>
    <row r="234" spans="1:8" s="398" customFormat="1" ht="12.75" customHeight="1">
      <c r="A234" s="175">
        <f>A233+1</f>
        <v>30</v>
      </c>
      <c r="B234" s="424" t="s">
        <v>499</v>
      </c>
      <c r="C234" s="424" t="s">
        <v>945</v>
      </c>
      <c r="D234" s="425">
        <v>0.5</v>
      </c>
      <c r="E234" s="425">
        <v>1</v>
      </c>
      <c r="F234" s="426">
        <v>2910</v>
      </c>
      <c r="G234" s="414">
        <f t="shared" si="48"/>
        <v>3346.4999999999995</v>
      </c>
      <c r="H234" s="419">
        <f t="shared" si="58"/>
        <v>4350.45</v>
      </c>
    </row>
    <row r="235" spans="1:8" s="399" customFormat="1" ht="12.75" customHeight="1">
      <c r="A235" s="406"/>
      <c r="B235" s="416"/>
      <c r="C235" s="416"/>
      <c r="D235" s="348">
        <f>SUM(D233:D234)</f>
        <v>1</v>
      </c>
      <c r="E235" s="348"/>
      <c r="F235" s="417">
        <f>SUM(F233:F234)</f>
        <v>5820</v>
      </c>
      <c r="G235" s="417">
        <f t="shared" ref="G235:H235" si="62">SUM(G233:G234)</f>
        <v>6692.9999999999991</v>
      </c>
      <c r="H235" s="417">
        <f t="shared" si="62"/>
        <v>8700.9</v>
      </c>
    </row>
    <row r="236" spans="1:8" ht="12.75" customHeight="1">
      <c r="A236" s="373"/>
      <c r="B236" s="366"/>
      <c r="C236" s="366"/>
      <c r="D236" s="420">
        <f>D181+D187+D190+D194+D198+D201+D205+D214+D218+D225+D228+D231+D235</f>
        <v>25.800000000000004</v>
      </c>
      <c r="E236" s="374"/>
      <c r="F236" s="400">
        <f>F181+F187+F190+F194+F198+F201+F205+F214+F218+F225+F228+F231+F235</f>
        <v>159740</v>
      </c>
      <c r="G236" s="400">
        <f t="shared" ref="G236:H236" si="63">G181+G187+G190+G194+G198+G201+G205+G214+G218+G225+G228+G231+G235</f>
        <v>183701</v>
      </c>
      <c r="H236" s="400">
        <f t="shared" si="63"/>
        <v>238811.29999999996</v>
      </c>
    </row>
    <row r="237" spans="1:8" ht="15.75">
      <c r="A237" s="712" t="s">
        <v>661</v>
      </c>
      <c r="B237" s="713"/>
      <c r="C237" s="713"/>
      <c r="D237" s="713"/>
      <c r="E237" s="713"/>
      <c r="F237" s="713"/>
      <c r="G237" s="713"/>
      <c r="H237" s="714"/>
    </row>
    <row r="238" spans="1:8">
      <c r="A238" s="779" t="s">
        <v>505</v>
      </c>
      <c r="B238" s="780"/>
      <c r="C238" s="780"/>
      <c r="D238" s="780"/>
      <c r="E238" s="780"/>
      <c r="F238" s="780"/>
      <c r="G238" s="780"/>
      <c r="H238" s="781"/>
    </row>
    <row r="239" spans="1:8">
      <c r="A239" s="364">
        <v>1</v>
      </c>
      <c r="B239" s="365" t="s">
        <v>508</v>
      </c>
      <c r="C239" s="365" t="s">
        <v>933</v>
      </c>
      <c r="D239" s="391">
        <v>0.5</v>
      </c>
      <c r="E239" s="369"/>
      <c r="F239" s="379">
        <v>5820</v>
      </c>
      <c r="G239" s="379">
        <f>F239*1.15</f>
        <v>6692.9999999999991</v>
      </c>
      <c r="H239" s="380">
        <f>G239*1.3*D239</f>
        <v>4350.45</v>
      </c>
    </row>
    <row r="240" spans="1:8">
      <c r="A240" s="364">
        <v>2</v>
      </c>
      <c r="B240" s="365" t="s">
        <v>950</v>
      </c>
      <c r="C240" s="365" t="s">
        <v>933</v>
      </c>
      <c r="D240" s="391">
        <v>0.6</v>
      </c>
      <c r="E240" s="369"/>
      <c r="F240" s="379">
        <v>5820</v>
      </c>
      <c r="G240" s="379">
        <f>F240*1.15</f>
        <v>6692.9999999999991</v>
      </c>
      <c r="H240" s="380">
        <f>G240*1.3*D240</f>
        <v>5220.54</v>
      </c>
    </row>
    <row r="241" spans="1:10">
      <c r="A241" s="364"/>
      <c r="B241" s="365"/>
      <c r="C241" s="365"/>
      <c r="D241" s="393">
        <v>1.1000000000000001</v>
      </c>
      <c r="E241" s="369"/>
      <c r="F241" s="382">
        <f>SUM(F239:F240)</f>
        <v>11640</v>
      </c>
      <c r="G241" s="382">
        <f t="shared" ref="G241:H241" si="64">SUM(G239:G240)</f>
        <v>13385.999999999998</v>
      </c>
      <c r="H241" s="382">
        <f t="shared" si="64"/>
        <v>9570.99</v>
      </c>
    </row>
    <row r="242" spans="1:10">
      <c r="A242" s="776" t="s">
        <v>511</v>
      </c>
      <c r="B242" s="777"/>
      <c r="C242" s="777"/>
      <c r="D242" s="777"/>
      <c r="E242" s="777"/>
      <c r="F242" s="777"/>
      <c r="G242" s="777"/>
      <c r="H242" s="778"/>
      <c r="J242" s="361">
        <v>5</v>
      </c>
    </row>
    <row r="243" spans="1:10">
      <c r="A243" s="368">
        <v>3</v>
      </c>
      <c r="B243" s="369" t="s">
        <v>513</v>
      </c>
      <c r="C243" s="369" t="s">
        <v>933</v>
      </c>
      <c r="D243" s="391">
        <v>0.7</v>
      </c>
      <c r="E243" s="369">
        <v>1.2</v>
      </c>
      <c r="F243" s="379">
        <v>6990</v>
      </c>
      <c r="G243" s="379">
        <f>F243*1.15</f>
        <v>8038.4999999999991</v>
      </c>
      <c r="H243" s="380">
        <f>G243*1.3*D243</f>
        <v>7315.0349999999989</v>
      </c>
    </row>
    <row r="244" spans="1:10">
      <c r="A244" s="368">
        <v>4</v>
      </c>
      <c r="B244" s="369" t="s">
        <v>517</v>
      </c>
      <c r="C244" s="369" t="s">
        <v>933</v>
      </c>
      <c r="D244" s="391">
        <v>0.5</v>
      </c>
      <c r="E244" s="369">
        <v>1.2</v>
      </c>
      <c r="F244" s="379">
        <v>6990</v>
      </c>
      <c r="G244" s="379">
        <f>F244*1.15</f>
        <v>8038.4999999999991</v>
      </c>
      <c r="H244" s="380">
        <f>G244*1.3*D244</f>
        <v>5225.0249999999996</v>
      </c>
    </row>
    <row r="245" spans="1:10">
      <c r="A245" s="368"/>
      <c r="B245" s="369" t="s">
        <v>513</v>
      </c>
      <c r="C245" s="369" t="s">
        <v>951</v>
      </c>
      <c r="D245" s="391">
        <v>0.5</v>
      </c>
      <c r="E245" s="377"/>
      <c r="F245" s="380">
        <v>5820</v>
      </c>
      <c r="G245" s="379">
        <f>F245*1.15</f>
        <v>6692.9999999999991</v>
      </c>
      <c r="H245" s="380">
        <f>G245*1.3*D245</f>
        <v>4350.45</v>
      </c>
    </row>
    <row r="246" spans="1:10">
      <c r="A246" s="368">
        <v>5</v>
      </c>
      <c r="B246" s="369" t="s">
        <v>922</v>
      </c>
      <c r="C246" s="369" t="s">
        <v>951</v>
      </c>
      <c r="D246" s="391">
        <v>0.5</v>
      </c>
      <c r="E246" s="377"/>
      <c r="F246" s="380">
        <v>5820</v>
      </c>
      <c r="G246" s="379">
        <f>F246*1.15</f>
        <v>6692.9999999999991</v>
      </c>
      <c r="H246" s="380">
        <f>G246*1.3*D246</f>
        <v>4350.45</v>
      </c>
    </row>
    <row r="247" spans="1:10">
      <c r="A247" s="368"/>
      <c r="B247" s="369"/>
      <c r="C247" s="369"/>
      <c r="D247" s="393">
        <f>D243+D244+D245+D246</f>
        <v>2.2000000000000002</v>
      </c>
      <c r="E247" s="377"/>
      <c r="F247" s="381">
        <f>SUM(F243:F246)</f>
        <v>25620</v>
      </c>
      <c r="G247" s="381">
        <f t="shared" ref="G247:H247" si="65">SUM(G243:G246)</f>
        <v>29462.999999999996</v>
      </c>
      <c r="H247" s="381">
        <f t="shared" si="65"/>
        <v>21240.959999999999</v>
      </c>
    </row>
    <row r="248" spans="1:10">
      <c r="A248" s="776" t="s">
        <v>518</v>
      </c>
      <c r="B248" s="777"/>
      <c r="C248" s="777"/>
      <c r="D248" s="777"/>
      <c r="E248" s="777"/>
      <c r="F248" s="777"/>
      <c r="G248" s="777"/>
      <c r="H248" s="778"/>
    </row>
    <row r="249" spans="1:10">
      <c r="A249" s="364">
        <v>6</v>
      </c>
      <c r="B249" s="365" t="s">
        <v>520</v>
      </c>
      <c r="C249" s="365" t="s">
        <v>943</v>
      </c>
      <c r="D249" s="391">
        <v>1.2</v>
      </c>
      <c r="E249" s="377">
        <v>1.5</v>
      </c>
      <c r="F249" s="380">
        <v>6700</v>
      </c>
      <c r="G249" s="379">
        <f>F249*1.15</f>
        <v>7704.9999999999991</v>
      </c>
      <c r="H249" s="380">
        <f>G249*1.3*D249</f>
        <v>12019.8</v>
      </c>
    </row>
    <row r="250" spans="1:10">
      <c r="A250" s="364">
        <v>7</v>
      </c>
      <c r="B250" s="365" t="s">
        <v>923</v>
      </c>
      <c r="C250" s="365" t="s">
        <v>970</v>
      </c>
      <c r="D250" s="391">
        <v>0.5</v>
      </c>
      <c r="E250" s="377"/>
      <c r="F250" s="380">
        <v>5820</v>
      </c>
      <c r="G250" s="379">
        <f>F250*1.15</f>
        <v>6692.9999999999991</v>
      </c>
      <c r="H250" s="380">
        <f>G250*1.3*D250</f>
        <v>4350.45</v>
      </c>
    </row>
    <row r="251" spans="1:10">
      <c r="A251" s="839"/>
      <c r="B251" s="839"/>
      <c r="C251" s="374"/>
      <c r="D251" s="392">
        <v>1.7</v>
      </c>
      <c r="E251" s="376"/>
      <c r="F251" s="381">
        <f>SUM(F249:F250)</f>
        <v>12520</v>
      </c>
      <c r="G251" s="381">
        <f t="shared" ref="G251:H251" si="66">SUM(G249:G250)</f>
        <v>14397.999999999998</v>
      </c>
      <c r="H251" s="381">
        <f t="shared" si="66"/>
        <v>16370.25</v>
      </c>
    </row>
    <row r="252" spans="1:10">
      <c r="A252" s="776" t="s">
        <v>521</v>
      </c>
      <c r="B252" s="777"/>
      <c r="C252" s="777"/>
      <c r="D252" s="777"/>
      <c r="E252" s="777"/>
      <c r="F252" s="777"/>
      <c r="G252" s="777"/>
      <c r="H252" s="778"/>
    </row>
    <row r="253" spans="1:10">
      <c r="A253" s="364">
        <v>8</v>
      </c>
      <c r="B253" s="365" t="s">
        <v>952</v>
      </c>
      <c r="C253" s="365" t="s">
        <v>933</v>
      </c>
      <c r="D253" s="391">
        <v>0.8</v>
      </c>
      <c r="E253" s="377"/>
      <c r="F253" s="380">
        <v>5820</v>
      </c>
      <c r="G253" s="379">
        <f>F253*1.15</f>
        <v>6692.9999999999991</v>
      </c>
      <c r="H253" s="380">
        <f>G253*1.3*D253</f>
        <v>6960.72</v>
      </c>
    </row>
    <row r="254" spans="1:10">
      <c r="A254" s="364">
        <v>9</v>
      </c>
      <c r="B254" s="365" t="s">
        <v>924</v>
      </c>
      <c r="C254" s="365" t="s">
        <v>951</v>
      </c>
      <c r="D254" s="391">
        <v>0.5</v>
      </c>
      <c r="E254" s="377"/>
      <c r="F254" s="380">
        <v>5820</v>
      </c>
      <c r="G254" s="379">
        <f>F254*1.15</f>
        <v>6692.9999999999991</v>
      </c>
      <c r="H254" s="380">
        <f>G254*1.3*D254</f>
        <v>4350.45</v>
      </c>
    </row>
    <row r="255" spans="1:10">
      <c r="A255" s="839"/>
      <c r="B255" s="839"/>
      <c r="C255" s="374"/>
      <c r="D255" s="392">
        <v>1.3</v>
      </c>
      <c r="E255" s="376"/>
      <c r="F255" s="381">
        <f>SUM(F253:F254)</f>
        <v>11640</v>
      </c>
      <c r="G255" s="381">
        <f t="shared" ref="G255:H255" si="67">SUM(G253:G254)</f>
        <v>13385.999999999998</v>
      </c>
      <c r="H255" s="381">
        <f t="shared" si="67"/>
        <v>11311.17</v>
      </c>
    </row>
    <row r="256" spans="1:10" s="363" customFormat="1">
      <c r="A256" s="776" t="s">
        <v>953</v>
      </c>
      <c r="B256" s="777"/>
      <c r="C256" s="777"/>
      <c r="D256" s="777"/>
      <c r="E256" s="777"/>
      <c r="F256" s="777"/>
      <c r="G256" s="777"/>
      <c r="H256" s="778"/>
    </row>
    <row r="257" spans="1:9">
      <c r="A257" s="364">
        <v>10</v>
      </c>
      <c r="B257" s="365" t="s">
        <v>527</v>
      </c>
      <c r="C257" s="365" t="s">
        <v>933</v>
      </c>
      <c r="D257" s="391">
        <v>1</v>
      </c>
      <c r="E257" s="377"/>
      <c r="F257" s="380">
        <v>5820</v>
      </c>
      <c r="G257" s="379">
        <f>F257*1.15</f>
        <v>6692.9999999999991</v>
      </c>
      <c r="H257" s="380">
        <f>G257*1.3*D257</f>
        <v>8700.9</v>
      </c>
    </row>
    <row r="258" spans="1:9">
      <c r="A258" s="364">
        <v>11</v>
      </c>
      <c r="B258" s="365" t="s">
        <v>529</v>
      </c>
      <c r="C258" s="365" t="s">
        <v>933</v>
      </c>
      <c r="D258" s="391">
        <v>1</v>
      </c>
      <c r="E258" s="377"/>
      <c r="F258" s="380">
        <v>5820</v>
      </c>
      <c r="G258" s="379">
        <f>F258*1.15</f>
        <v>6692.9999999999991</v>
      </c>
      <c r="H258" s="380">
        <f>G258*1.3*D258</f>
        <v>8700.9</v>
      </c>
    </row>
    <row r="259" spans="1:9">
      <c r="A259" s="363"/>
      <c r="B259" s="363"/>
      <c r="C259" s="366"/>
      <c r="D259" s="393">
        <f>SUM(D257:D258)</f>
        <v>2</v>
      </c>
      <c r="E259" s="376"/>
      <c r="F259" s="381">
        <f>SUM(F257:F258)</f>
        <v>11640</v>
      </c>
      <c r="G259" s="381">
        <f t="shared" ref="G259:H259" si="68">SUM(G257:G258)</f>
        <v>13385.999999999998</v>
      </c>
      <c r="H259" s="381">
        <f t="shared" si="68"/>
        <v>17401.8</v>
      </c>
    </row>
    <row r="260" spans="1:9">
      <c r="A260" s="776" t="s">
        <v>530</v>
      </c>
      <c r="B260" s="777"/>
      <c r="C260" s="777"/>
      <c r="D260" s="777"/>
      <c r="E260" s="777"/>
      <c r="F260" s="777"/>
      <c r="G260" s="777"/>
      <c r="H260" s="778"/>
    </row>
    <row r="261" spans="1:9">
      <c r="A261" s="364">
        <v>12</v>
      </c>
      <c r="B261" s="365" t="s">
        <v>532</v>
      </c>
      <c r="C261" s="365" t="s">
        <v>933</v>
      </c>
      <c r="D261" s="391">
        <v>1</v>
      </c>
      <c r="E261" s="369"/>
      <c r="F261" s="379">
        <v>5820</v>
      </c>
      <c r="G261" s="379">
        <f>F261*1.15</f>
        <v>6692.9999999999991</v>
      </c>
      <c r="H261" s="380">
        <f>G261*1.3*D261</f>
        <v>8700.9</v>
      </c>
    </row>
    <row r="262" spans="1:9">
      <c r="A262" s="364">
        <v>13</v>
      </c>
      <c r="B262" s="365" t="s">
        <v>954</v>
      </c>
      <c r="C262" s="365" t="s">
        <v>933</v>
      </c>
      <c r="D262" s="391">
        <v>0.3</v>
      </c>
      <c r="E262" s="369"/>
      <c r="F262" s="379">
        <v>5820</v>
      </c>
      <c r="G262" s="379">
        <f>F262*1.15</f>
        <v>6692.9999999999991</v>
      </c>
      <c r="H262" s="380">
        <f>G262*1.3*D262</f>
        <v>2610.27</v>
      </c>
    </row>
    <row r="263" spans="1:9">
      <c r="A263" s="364">
        <v>14</v>
      </c>
      <c r="B263" s="365" t="s">
        <v>926</v>
      </c>
      <c r="C263" s="365" t="s">
        <v>951</v>
      </c>
      <c r="D263" s="391">
        <v>0.5</v>
      </c>
      <c r="E263" s="369"/>
      <c r="F263" s="379">
        <v>5820</v>
      </c>
      <c r="G263" s="379">
        <f>F263*1.15</f>
        <v>6692.9999999999991</v>
      </c>
      <c r="H263" s="380">
        <f>G263*1.3*D263</f>
        <v>4350.45</v>
      </c>
    </row>
    <row r="264" spans="1:9">
      <c r="A264" s="364"/>
      <c r="B264" s="365"/>
      <c r="C264" s="365"/>
      <c r="D264" s="393">
        <f>SUM(D261:D263)</f>
        <v>1.8</v>
      </c>
      <c r="E264" s="369"/>
      <c r="F264" s="382">
        <f>SUM(F261:F263)</f>
        <v>17460</v>
      </c>
      <c r="G264" s="382">
        <f t="shared" ref="G264:H264" si="69">SUM(G261:G263)</f>
        <v>20078.999999999996</v>
      </c>
      <c r="H264" s="382">
        <f t="shared" si="69"/>
        <v>15661.619999999999</v>
      </c>
    </row>
    <row r="265" spans="1:9">
      <c r="A265" s="776" t="s">
        <v>540</v>
      </c>
      <c r="B265" s="777"/>
      <c r="C265" s="777"/>
      <c r="D265" s="777"/>
      <c r="E265" s="777"/>
      <c r="F265" s="777"/>
      <c r="G265" s="777"/>
      <c r="H265" s="778"/>
    </row>
    <row r="266" spans="1:9" s="363" customFormat="1">
      <c r="A266" s="364">
        <v>15</v>
      </c>
      <c r="B266" s="365" t="s">
        <v>542</v>
      </c>
      <c r="C266" s="365" t="s">
        <v>933</v>
      </c>
      <c r="D266" s="391">
        <v>0.5</v>
      </c>
      <c r="E266" s="369"/>
      <c r="F266" s="379">
        <v>5820</v>
      </c>
      <c r="G266" s="379">
        <f>F266*1.15</f>
        <v>6692.9999999999991</v>
      </c>
      <c r="H266" s="380">
        <f>G266*1.3*D266</f>
        <v>4350.45</v>
      </c>
    </row>
    <row r="267" spans="1:9" s="363" customFormat="1">
      <c r="A267" s="364">
        <v>16</v>
      </c>
      <c r="B267" s="365" t="s">
        <v>545</v>
      </c>
      <c r="C267" s="365" t="s">
        <v>933</v>
      </c>
      <c r="D267" s="391">
        <v>0.5</v>
      </c>
      <c r="E267" s="369"/>
      <c r="F267" s="379">
        <v>5820</v>
      </c>
      <c r="G267" s="379">
        <f>F267*1.15</f>
        <v>6692.9999999999991</v>
      </c>
      <c r="H267" s="380">
        <f>G267*1.3*D267</f>
        <v>4350.45</v>
      </c>
      <c r="I267" s="392">
        <f t="shared" ref="F267:I270" si="70">I238+I244+I248+I252+I256+I261+I266</f>
        <v>0</v>
      </c>
    </row>
    <row r="268" spans="1:9">
      <c r="A268" s="364">
        <v>17</v>
      </c>
      <c r="B268" s="365" t="s">
        <v>927</v>
      </c>
      <c r="C268" s="365" t="s">
        <v>951</v>
      </c>
      <c r="D268" s="391">
        <v>0.5</v>
      </c>
      <c r="E268" s="369"/>
      <c r="F268" s="379">
        <v>5820</v>
      </c>
      <c r="G268" s="379">
        <f>F268*1.15</f>
        <v>6692.9999999999991</v>
      </c>
      <c r="H268" s="380">
        <f>G268*1.3*D268</f>
        <v>4350.45</v>
      </c>
    </row>
    <row r="269" spans="1:9">
      <c r="A269" s="401"/>
      <c r="B269" s="402"/>
      <c r="C269" s="374"/>
      <c r="D269" s="392">
        <f>SUM(D266:D268)</f>
        <v>1.5</v>
      </c>
      <c r="E269" s="376"/>
      <c r="F269" s="381">
        <f>SUM(F266:F268)</f>
        <v>17460</v>
      </c>
      <c r="G269" s="381">
        <f t="shared" ref="G269:H269" si="71">SUM(G266:G268)</f>
        <v>20078.999999999996</v>
      </c>
      <c r="H269" s="381">
        <f t="shared" si="71"/>
        <v>13051.349999999999</v>
      </c>
    </row>
    <row r="270" spans="1:9">
      <c r="A270" s="401"/>
      <c r="B270" s="402"/>
      <c r="C270" s="374"/>
      <c r="D270" s="392">
        <f>D241+D247+D251+D255+D259+D264+D269</f>
        <v>11.600000000000001</v>
      </c>
      <c r="E270" s="392"/>
      <c r="F270" s="413">
        <f t="shared" si="70"/>
        <v>107980</v>
      </c>
      <c r="G270" s="413">
        <f t="shared" si="70"/>
        <v>124176.99999999999</v>
      </c>
      <c r="H270" s="413">
        <f t="shared" si="70"/>
        <v>104608.13999999998</v>
      </c>
    </row>
    <row r="271" spans="1:9" ht="15.75">
      <c r="A271" s="705" t="s">
        <v>683</v>
      </c>
      <c r="B271" s="705"/>
      <c r="C271" s="705"/>
      <c r="D271" s="705"/>
      <c r="E271" s="705"/>
      <c r="F271" s="705"/>
      <c r="G271" s="705"/>
      <c r="H271" s="705"/>
    </row>
    <row r="272" spans="1:9">
      <c r="A272" s="364">
        <v>1</v>
      </c>
      <c r="B272" s="365" t="s">
        <v>955</v>
      </c>
      <c r="C272" s="365" t="s">
        <v>933</v>
      </c>
      <c r="D272" s="391">
        <v>1</v>
      </c>
      <c r="E272" s="369"/>
      <c r="F272" s="379">
        <v>5820</v>
      </c>
      <c r="G272" s="379">
        <v>6693</v>
      </c>
      <c r="H272" s="380">
        <f t="shared" ref="H272:H280" si="72">G272*1.3</f>
        <v>8700.9</v>
      </c>
    </row>
    <row r="273" spans="1:11">
      <c r="A273" s="364">
        <v>2</v>
      </c>
      <c r="B273" s="365" t="s">
        <v>551</v>
      </c>
      <c r="C273" s="365" t="s">
        <v>933</v>
      </c>
      <c r="D273" s="391">
        <v>1</v>
      </c>
      <c r="E273" s="369"/>
      <c r="F273" s="379">
        <v>5820</v>
      </c>
      <c r="G273" s="379">
        <v>6693</v>
      </c>
      <c r="H273" s="380">
        <f t="shared" si="72"/>
        <v>8700.9</v>
      </c>
    </row>
    <row r="274" spans="1:11">
      <c r="A274" s="364">
        <v>3</v>
      </c>
      <c r="B274" s="365" t="s">
        <v>581</v>
      </c>
      <c r="C274" s="365" t="s">
        <v>933</v>
      </c>
      <c r="D274" s="391">
        <v>1</v>
      </c>
      <c r="E274" s="369"/>
      <c r="F274" s="379">
        <v>5820</v>
      </c>
      <c r="G274" s="379">
        <v>6693</v>
      </c>
      <c r="H274" s="380">
        <f t="shared" si="72"/>
        <v>8700.9</v>
      </c>
    </row>
    <row r="275" spans="1:11">
      <c r="A275" s="364">
        <v>4</v>
      </c>
      <c r="B275" s="365" t="s">
        <v>566</v>
      </c>
      <c r="C275" s="365" t="s">
        <v>933</v>
      </c>
      <c r="D275" s="391">
        <v>1</v>
      </c>
      <c r="E275" s="369"/>
      <c r="F275" s="379">
        <v>5820</v>
      </c>
      <c r="G275" s="379">
        <v>6693</v>
      </c>
      <c r="H275" s="380">
        <f t="shared" si="72"/>
        <v>8700.9</v>
      </c>
    </row>
    <row r="276" spans="1:11">
      <c r="A276" s="364">
        <v>5</v>
      </c>
      <c r="B276" s="365" t="s">
        <v>956</v>
      </c>
      <c r="C276" s="365" t="s">
        <v>933</v>
      </c>
      <c r="D276" s="391">
        <v>1</v>
      </c>
      <c r="E276" s="369"/>
      <c r="F276" s="379">
        <v>5820</v>
      </c>
      <c r="G276" s="379">
        <v>6693</v>
      </c>
      <c r="H276" s="380">
        <f t="shared" si="72"/>
        <v>8700.9</v>
      </c>
    </row>
    <row r="277" spans="1:11">
      <c r="A277" s="364">
        <v>6</v>
      </c>
      <c r="B277" s="365" t="s">
        <v>610</v>
      </c>
      <c r="C277" s="365" t="s">
        <v>933</v>
      </c>
      <c r="D277" s="391">
        <v>1</v>
      </c>
      <c r="E277" s="369"/>
      <c r="F277" s="379">
        <v>5820</v>
      </c>
      <c r="G277" s="379">
        <v>6693</v>
      </c>
      <c r="H277" s="380">
        <f t="shared" si="72"/>
        <v>8700.9</v>
      </c>
    </row>
    <row r="278" spans="1:11">
      <c r="A278" s="364">
        <v>7</v>
      </c>
      <c r="B278" s="365" t="s">
        <v>595</v>
      </c>
      <c r="C278" s="365" t="s">
        <v>933</v>
      </c>
      <c r="D278" s="391">
        <v>1</v>
      </c>
      <c r="E278" s="369"/>
      <c r="F278" s="379">
        <v>5820</v>
      </c>
      <c r="G278" s="379">
        <v>6693</v>
      </c>
      <c r="H278" s="380">
        <f t="shared" si="72"/>
        <v>8700.9</v>
      </c>
    </row>
    <row r="279" spans="1:11">
      <c r="A279" s="364">
        <v>8</v>
      </c>
      <c r="B279" s="365" t="s">
        <v>622</v>
      </c>
      <c r="C279" s="365" t="s">
        <v>933</v>
      </c>
      <c r="D279" s="391">
        <v>1</v>
      </c>
      <c r="E279" s="369"/>
      <c r="F279" s="379">
        <v>5820</v>
      </c>
      <c r="G279" s="379">
        <v>6693</v>
      </c>
      <c r="H279" s="380">
        <f t="shared" si="72"/>
        <v>8700.9</v>
      </c>
    </row>
    <row r="280" spans="1:11">
      <c r="A280" s="364">
        <v>9</v>
      </c>
      <c r="B280" s="365" t="s">
        <v>643</v>
      </c>
      <c r="C280" s="365" t="s">
        <v>933</v>
      </c>
      <c r="D280" s="391">
        <v>1</v>
      </c>
      <c r="E280" s="369"/>
      <c r="F280" s="379">
        <v>5820</v>
      </c>
      <c r="G280" s="379">
        <v>6693</v>
      </c>
      <c r="H280" s="380">
        <f t="shared" si="72"/>
        <v>8700.9</v>
      </c>
    </row>
    <row r="281" spans="1:11">
      <c r="A281" s="373"/>
      <c r="B281" s="366"/>
      <c r="C281" s="366"/>
      <c r="D281" s="393">
        <f>SUM(D272:D280)</f>
        <v>9</v>
      </c>
      <c r="E281" s="374"/>
      <c r="F281" s="382">
        <f>SUM(F272:F280)</f>
        <v>52380</v>
      </c>
      <c r="G281" s="382">
        <f>SUM(G272:G280)</f>
        <v>60237</v>
      </c>
      <c r="H281" s="381">
        <f>G281*1.3</f>
        <v>78308.100000000006</v>
      </c>
      <c r="K281" s="403"/>
    </row>
    <row r="282" spans="1:11">
      <c r="K282" s="403"/>
    </row>
    <row r="283" spans="1:11" ht="15.75">
      <c r="A283" s="371"/>
      <c r="B283" s="104"/>
      <c r="C283" s="421"/>
      <c r="D283" s="422">
        <f>D63+D86+D110+D128+D177+D236+D270+D281</f>
        <v>128</v>
      </c>
      <c r="E283" s="423"/>
      <c r="F283" s="423">
        <f>F63+F86+F110+F128+F177+F236+F270+F281</f>
        <v>801691</v>
      </c>
      <c r="G283" s="423">
        <f>G63+G86+G110+G128+G177+G236+G270+G281</f>
        <v>922609.35</v>
      </c>
      <c r="H283" s="423">
        <f>H63+H86+H110+H128+H177+H236+H270+H281</f>
        <v>1142570.1950000001</v>
      </c>
    </row>
    <row r="284" spans="1:11">
      <c r="A284" s="506">
        <f>A61+A84+A108+A126+A175+A234+A268+A280</f>
        <v>154</v>
      </c>
      <c r="F284" s="378" t="s">
        <v>972</v>
      </c>
      <c r="G284" s="361"/>
      <c r="H284" s="378">
        <f>H283*30.2%</f>
        <v>345056.19889</v>
      </c>
    </row>
    <row r="285" spans="1:11">
      <c r="F285" s="378" t="s">
        <v>973</v>
      </c>
      <c r="H285" s="378">
        <f>H283*4</f>
        <v>4570280.78</v>
      </c>
    </row>
    <row r="286" spans="1:11">
      <c r="F286" s="378" t="s">
        <v>974</v>
      </c>
      <c r="H286" s="378">
        <f>H285*30.2%</f>
        <v>1380224.79556</v>
      </c>
    </row>
    <row r="287" spans="1:11">
      <c r="F287" s="378" t="s">
        <v>659</v>
      </c>
      <c r="H287" s="378">
        <f>SUM(H285:H286)</f>
        <v>5950505.5755599998</v>
      </c>
    </row>
  </sheetData>
  <mergeCells count="76">
    <mergeCell ref="A271:H271"/>
    <mergeCell ref="A176:C176"/>
    <mergeCell ref="A177:C177"/>
    <mergeCell ref="A179:H179"/>
    <mergeCell ref="A237:H237"/>
    <mergeCell ref="A238:H238"/>
    <mergeCell ref="A242:H242"/>
    <mergeCell ref="A248:H248"/>
    <mergeCell ref="A252:H252"/>
    <mergeCell ref="A256:H256"/>
    <mergeCell ref="A260:H260"/>
    <mergeCell ref="A251:B251"/>
    <mergeCell ref="A255:B255"/>
    <mergeCell ref="A265:H265"/>
    <mergeCell ref="A226:H226"/>
    <mergeCell ref="A229:H229"/>
    <mergeCell ref="A174:H174"/>
    <mergeCell ref="A147:H147"/>
    <mergeCell ref="A154:C154"/>
    <mergeCell ref="A155:H155"/>
    <mergeCell ref="A157:C157"/>
    <mergeCell ref="A158:H158"/>
    <mergeCell ref="A166:C166"/>
    <mergeCell ref="A167:H167"/>
    <mergeCell ref="A170:C170"/>
    <mergeCell ref="A171:H171"/>
    <mergeCell ref="A173:C173"/>
    <mergeCell ref="A146:C146"/>
    <mergeCell ref="A112:H112"/>
    <mergeCell ref="A116:H116"/>
    <mergeCell ref="A119:H119"/>
    <mergeCell ref="A122:H122"/>
    <mergeCell ref="A130:H130"/>
    <mergeCell ref="A105:C105"/>
    <mergeCell ref="A109:C109"/>
    <mergeCell ref="A111:H111"/>
    <mergeCell ref="A102:H102"/>
    <mergeCell ref="A106:H106"/>
    <mergeCell ref="A93:C93"/>
    <mergeCell ref="A97:C97"/>
    <mergeCell ref="A101:C101"/>
    <mergeCell ref="A88:H88"/>
    <mergeCell ref="A94:H94"/>
    <mergeCell ref="A98:H98"/>
    <mergeCell ref="A59:H59"/>
    <mergeCell ref="A65:H65"/>
    <mergeCell ref="A73:H73"/>
    <mergeCell ref="A80:H80"/>
    <mergeCell ref="A83:H83"/>
    <mergeCell ref="A25:H25"/>
    <mergeCell ref="A7:H7"/>
    <mergeCell ref="A129:H129"/>
    <mergeCell ref="A4:H4"/>
    <mergeCell ref="A8:H8"/>
    <mergeCell ref="A16:H16"/>
    <mergeCell ref="A18:H18"/>
    <mergeCell ref="A22:H22"/>
    <mergeCell ref="A87:H87"/>
    <mergeCell ref="A64:H64"/>
    <mergeCell ref="A28:H28"/>
    <mergeCell ref="A32:H32"/>
    <mergeCell ref="A35:H35"/>
    <mergeCell ref="A39:H39"/>
    <mergeCell ref="A42:H42"/>
    <mergeCell ref="A56:H56"/>
    <mergeCell ref="A232:H232"/>
    <mergeCell ref="A178:H178"/>
    <mergeCell ref="A199:H199"/>
    <mergeCell ref="A202:H202"/>
    <mergeCell ref="A206:H206"/>
    <mergeCell ref="A215:H215"/>
    <mergeCell ref="A219:H219"/>
    <mergeCell ref="A182:H182"/>
    <mergeCell ref="A188:H188"/>
    <mergeCell ref="A191:H191"/>
    <mergeCell ref="A195:H195"/>
  </mergeCells>
  <printOptions horizontalCentered="1"/>
  <pageMargins left="0.19685039370078741" right="0.19685039370078741" top="0.15748031496062992" bottom="0.15748031496062992" header="0.31496062992125984" footer="0.31496062992125984"/>
  <pageSetup paperSize="9" scale="9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 1</vt:lpstr>
      <vt:lpstr>Прил 2</vt:lpstr>
      <vt:lpstr>Прил 3 </vt:lpstr>
      <vt:lpstr>Прил 4</vt:lpstr>
      <vt:lpstr>Прил 5</vt:lpstr>
      <vt:lpstr>Прил 6</vt:lpstr>
      <vt:lpstr>'Прил 1'!Заголовки_для_печати</vt:lpstr>
      <vt:lpstr>'Прил 3 '!Заголовки_для_печати</vt:lpstr>
      <vt:lpstr>'Прил 5'!Заголовки_для_печати</vt:lpstr>
      <vt:lpstr>'Прил 6'!Заголовки_для_печати</vt:lpstr>
      <vt:lpstr>'Прил 1'!Область_печати</vt:lpstr>
      <vt:lpstr>'Прил 3 '!Область_печати</vt:lpstr>
      <vt:lpstr>'Прил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2013-07-23T10:09:36Z</dcterms:modified>
</cp:coreProperties>
</file>